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qudYkv6BCfk1ie9ky2MV7ur6E8j9h9aaOq+D+flSGBA6GbDRgtHm6cQQVlXemINko+9R5rJ/Ue67kiD1ecrF0A==" workbookSaltValue="t94K3gqT7fPf2DcN4inN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F11" i="11" s="1"/>
  <c r="EP19" i="8"/>
  <c r="ER19" i="13"/>
  <c r="AL13" i="16"/>
  <c r="AJ13" i="16"/>
  <c r="EP19" i="19"/>
  <c r="T9" i="11"/>
  <c r="BH17" i="16"/>
  <c r="BL17" i="11"/>
  <c r="S13" i="16"/>
  <c r="P13" i="16"/>
  <c r="AM13" i="20"/>
  <c r="K18" i="2"/>
  <c r="M13" i="2"/>
  <c r="M18" i="2"/>
  <c r="N13" i="2"/>
  <c r="N18" i="2"/>
  <c r="T13" i="12"/>
  <c r="V11" i="11"/>
  <c r="BI15" i="11"/>
  <c r="BG15" i="11"/>
  <c r="AP17" i="20"/>
  <c r="BV17" i="16"/>
  <c r="BV12" i="16"/>
  <c r="BV11" i="16"/>
  <c r="U10" i="17"/>
  <c r="V12" i="16"/>
  <c r="BV9" i="16"/>
  <c r="T13" i="16"/>
  <c r="AA17" i="16"/>
  <c r="T16" i="11"/>
  <c r="Q17" i="17"/>
  <c r="BI9" i="11"/>
  <c r="S10" i="17"/>
  <c r="Q15" i="17"/>
  <c r="BF15" i="11"/>
  <c r="AQ12" i="21"/>
  <c r="BL16" i="11"/>
  <c r="T13" i="20"/>
  <c r="BF15" i="8"/>
  <c r="BF9" i="8"/>
  <c r="L10" i="2"/>
  <c r="AU18" i="21"/>
  <c r="AH13" i="16"/>
  <c r="L15" i="2"/>
  <c r="X10" i="21"/>
  <c r="L9" i="2"/>
  <c r="AP13" i="16"/>
  <c r="V9" i="16"/>
  <c r="T18" i="17"/>
  <c r="BG15" i="13"/>
  <c r="BE16" i="13"/>
  <c r="BE15" i="13"/>
  <c r="AX20" i="20"/>
  <c r="S19" i="8" l="1"/>
  <c r="AC19" i="8"/>
  <c r="AB13" i="21"/>
  <c r="U9" i="17"/>
  <c r="U19" i="17" s="1"/>
  <c r="L16" i="2"/>
  <c r="BJ16" i="11"/>
  <c r="BH16" i="11"/>
  <c r="BM17" i="11"/>
  <c r="BH10" i="16"/>
  <c r="AQ10" i="21"/>
  <c r="BH10" i="11"/>
  <c r="BG12" i="11"/>
  <c r="AZ12" i="11"/>
  <c r="BU16" i="17"/>
  <c r="BW10" i="20"/>
  <c r="BW11" i="20"/>
  <c r="BW12" i="20"/>
  <c r="BU10" i="17"/>
  <c r="BU11" i="17"/>
  <c r="BK17" i="11"/>
  <c r="BJ12" i="11"/>
  <c r="BM12" i="11"/>
  <c r="BF10" i="11"/>
  <c r="BM16" i="11"/>
  <c r="BH11" i="16"/>
  <c r="AL16" i="11"/>
  <c r="C16" i="6"/>
  <c r="BE9" i="13"/>
  <c r="AZ15" i="11"/>
  <c r="AZ18" i="11" s="1"/>
  <c r="AZ9" i="11"/>
  <c r="R17" i="20"/>
  <c r="R18" i="20" s="1"/>
  <c r="AP15" i="20"/>
  <c r="BJ15" i="11"/>
  <c r="BH9" i="11"/>
  <c r="AP10" i="21"/>
  <c r="BK11" i="11"/>
  <c r="X11" i="17"/>
  <c r="BK9" i="11"/>
  <c r="BK12" i="11"/>
  <c r="P17" i="17"/>
  <c r="BG10" i="11"/>
  <c r="BL9" i="11"/>
  <c r="AZ13"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<sst xmlns="http://schemas.openxmlformats.org/spreadsheetml/2006/main" count="2102" uniqueCount="918">
  <si>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</si>
  <si>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</si>
  <si>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</si>
  <si>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</si>
  <si>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</si>
  <si>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</si>
  <si>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</si>
  <si>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</si>
  <si>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</si>
  <si>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</si>
  <si>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</si>
  <si>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</si>
  <si>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</si>
  <si>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</si>
  <si>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</si>
  <si>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</si>
  <si>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</si>
  <si>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</si>
  <si>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</si>
  <si>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</si>
  <si>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</si>
  <si>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</si>
  <si>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</si>
  <si>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</si>
  <si>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</si>
  <si>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</si>
  <si>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</si>
  <si>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</si>
  <si>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</si>
  <si>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</si>
  <si>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</si>
  <si>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</si>
  <si>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</si>
  <si>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</si>
  <si>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</si>
  <si>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</si>
  <si>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</si>
  <si>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</si>
  <si>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</si>
  <si>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</si>
  <si>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</si>
  <si>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</si>
  <si>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</si>
  <si>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</si>
  <si>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</si>
  <si>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</si>
  <si>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</si>
  <si>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</si>
  <si>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</si>
  <si>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</si>
  <si>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</si>
  <si>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</si>
  <si>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</si>
  <si>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</si>
  <si>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</si>
  <si>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</si>
  <si>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</si>
  <si>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</si>
  <si>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</si>
  <si>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</si>
  <si>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</si>
  <si>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</si>
  <si>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</si>
  <si>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</si>
  <si>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</si>
  <si>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</si>
  <si>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</si>
  <si>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</si>
  <si>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</si>
  <si>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</si>
  <si>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</si>
  <si>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</si>
  <si>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</si>
  <si>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</si>
  <si>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</si>
  <si>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</si>
  <si>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</si>
  <si>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</si>
  <si>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</si>
  <si>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</si>
  <si>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</si>
  <si>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</si>
  <si>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</si>
  <si>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</si>
  <si>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</si>
  <si>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</si>
  <si>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</si>
  <si>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</si>
  <si>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</si>
  <si>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</si>
  <si>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</si>
  <si>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</si>
  <si>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</si>
  <si>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</si>
  <si>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</si>
  <si>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</si>
  <si>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</si>
  <si>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</si>
  <si>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</si>
  <si>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</si>
  <si>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</si>
  <si>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</si>
  <si>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</si>
  <si>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</si>
  <si>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</si>
  <si>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</si>
  <si>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</si>
  <si>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</si>
  <si>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</si>
  <si>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</si>
  <si>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</si>
  <si>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</si>
  <si>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</si>
  <si>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</si>
  <si>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</si>
  <si>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</si>
  <si>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</si>
  <si>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</si>
  <si>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</si>
  <si>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</si>
  <si>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</si>
  <si>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</si>
  <si>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</si>
  <si>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</si>
  <si>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</si>
  <si>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</si>
  <si>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</si>
  <si>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</si>
  <si>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</si>
  <si>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</si>
  <si>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</si>
  <si>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</si>
  <si>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</si>
  <si>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</si>
  <si>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</si>
  <si>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</si>
  <si>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</si>
  <si>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</si>
  <si>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</si>
  <si>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</si>
  <si>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</si>
  <si>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</si>
  <si>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</si>
  <si>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</si>
  <si>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</si>
  <si>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</si>
  <si>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</si>
  <si>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</si>
  <si>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</si>
  <si>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</si>
  <si>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</si>
  <si>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</si>
  <si>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</si>
  <si>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</si>
  <si>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</si>
  <si>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</si>
  <si>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</si>
  <si>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</si>
  <si>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</si>
  <si>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</si>
  <si>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</si>
  <si>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</si>
  <si>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</si>
  <si>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</si>
  <si>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</si>
  <si>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</si>
  <si>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</si>
  <si>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</si>
  <si>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</si>
  <si>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</si>
  <si>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</si>
  <si>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</si>
  <si>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</si>
  <si>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</si>
  <si>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</si>
  <si>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</si>
  <si>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</si>
  <si>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</si>
  <si>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</si>
  <si>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</si>
  <si>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</si>
  <si>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</si>
  <si>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</si>
  <si>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</si>
  <si>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</si>
  <si>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</si>
  <si>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</si>
  <si>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</si>
  <si>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</si>
  <si>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</si>
  <si>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</si>
  <si>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</si>
  <si>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</si>
  <si>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</si>
  <si>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</si>
  <si>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</si>
  <si>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</si>
  <si>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</si>
  <si>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</si>
  <si>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</si>
  <si>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</si>
  <si>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</si>
  <si>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</si>
  <si>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</si>
  <si>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</si>
  <si>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</si>
  <si>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</si>
  <si>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</si>
  <si>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</si>
  <si>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</si>
  <si>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</si>
  <si>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</si>
  <si>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</si>
  <si>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</si>
  <si>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</si>
  <si>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</si>
  <si>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</si>
  <si>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</si>
  <si>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</si>
  <si>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</si>
  <si>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</si>
  <si>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</si>
  <si>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</si>
  <si>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</si>
  <si>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</si>
  <si>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</si>
  <si>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</si>
  <si>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</si>
  <si>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</si>
  <si>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</si>
  <si>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</si>
  <si>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</si>
  <si>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</si>
  <si>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</si>
  <si>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</si>
  <si>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</si>
  <si>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</si>
  <si>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</si>
  <si>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</si>
  <si>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</si>
  <si>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</si>
  <si>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</si>
  <si>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</si>
  <si>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</si>
  <si>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</si>
  <si>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</si>
  <si>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</si>
  <si>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</si>
  <si>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</si>
  <si>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</si>
  <si>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</si>
  <si>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</si>
  <si>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</si>
  <si>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</si>
  <si>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</si>
  <si>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</si>
  <si>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</si>
  <si>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</si>
  <si>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</si>
  <si>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</si>
  <si>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</si>
  <si>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</si>
  <si>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</si>
  <si>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</si>
  <si>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</si>
  <si>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</si>
  <si>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</si>
  <si>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</si>
  <si>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</si>
  <si>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</si>
  <si>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</si>
  <si>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</si>
  <si>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</si>
  <si>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</si>
  <si>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</si>
  <si>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</si>
  <si>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</si>
  <si>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</si>
  <si>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</si>
  <si>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</si>
  <si>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</si>
  <si>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</si>
  <si>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</si>
  <si>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</si>
  <si>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</si>
  <si>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</si>
  <si>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</si>
  <si>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</si>
  <si>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</si>
  <si>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</si>
  <si>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</si>
  <si>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</si>
  <si>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</si>
  <si>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</si>
  <si>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</si>
  <si>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</si>
  <si>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</si>
  <si>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</si>
  <si>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</si>
  <si>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</si>
  <si>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</si>
  <si>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</si>
  <si>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</si>
  <si>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</si>
  <si>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</si>
  <si>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</si>
  <si>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</si>
  <si>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</si>
  <si>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</si>
  <si>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</si>
  <si>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</si>
  <si>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</si>
  <si>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</si>
  <si>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</si>
  <si>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</si>
  <si>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</si>
  <si>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</si>
  <si>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</si>
  <si>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</si>
  <si>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</si>
  <si>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</si>
  <si>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</si>
  <si>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</si>
  <si>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</si>
  <si>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</si>
  <si>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</si>
  <si>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</si>
  <si>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</si>
  <si>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</si>
  <si>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</si>
  <si>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</si>
  <si>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</si>
  <si>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</si>
  <si>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</si>
  <si>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</si>
  <si>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</si>
  <si>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</si>
  <si>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</si>
  <si>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</si>
  <si>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</si>
  <si>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</si>
  <si>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</si>
  <si>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</si>
  <si>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</si>
  <si>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</si>
  <si>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</si>
  <si>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</si>
  <si>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</si>
  <si>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</si>
  <si>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</si>
  <si>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</si>
  <si>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</si>
  <si>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</si>
  <si>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</si>
  <si>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</si>
  <si>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</si>
  <si>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</si>
  <si>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</si>
  <si>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</si>
  <si>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</si>
  <si>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</si>
  <si>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</si>
  <si>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</si>
  <si>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</si>
  <si>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</si>
  <si>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</si>
  <si>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</si>
  <si>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</si>
  <si>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</si>
  <si>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</si>
  <si>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</si>
  <si>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</si>
  <si>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</si>
  <si>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</si>
  <si>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</si>
  <si>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</si>
  <si>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</si>
  <si>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</si>
  <si>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</si>
  <si>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</si>
  <si>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</si>
  <si>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</si>
  <si>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</si>
  <si>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</si>
  <si>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</si>
  <si>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</si>
  <si>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</si>
  <si>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</si>
  <si>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</si>
  <si>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</si>
  <si>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</si>
  <si>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</si>
  <si>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</si>
  <si>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</si>
  <si>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</si>
  <si>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</si>
  <si>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</si>
  <si>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</si>
  <si>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</si>
  <si>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</si>
  <si>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</si>
  <si>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</si>
  <si>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</si>
  <si>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</si>
  <si>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</si>
  <si>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</si>
  <si>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</si>
  <si>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</si>
  <si>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</si>
  <si>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</si>
  <si>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</si>
  <si>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</si>
  <si>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</si>
  <si>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</si>
  <si>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</si>
  <si>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</si>
  <si>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</si>
  <si>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</si>
  <si>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</si>
  <si>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</si>
  <si>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</si>
  <si>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</si>
  <si>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</si>
  <si>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</si>
  <si>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</si>
  <si>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</si>
  <si>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</si>
  <si>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</si>
  <si>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</si>
  <si>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</si>
  <si>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</si>
  <si>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</si>
  <si>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</si>
  <si>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</si>
  <si>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</si>
  <si>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</si>
  <si>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</si>
  <si>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</si>
  <si>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</si>
  <si>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</si>
  <si>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</si>
  <si>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</si>
  <si>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</si>
  <si>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</si>
  <si>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</si>
  <si>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</si>
  <si>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</si>
  <si>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</si>
  <si>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</si>
  <si>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</si>
  <si>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</si>
  <si>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</si>
  <si>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</si>
  <si>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</si>
  <si>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</si>
  <si>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</si>
  <si>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</si>
  <si>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</si>
  <si>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</si>
  <si>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</si>
  <si>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</si>
  <si>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</si>
  <si>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</si>
  <si>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</si>
  <si>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</si>
  <si>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</si>
  <si>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</si>
  <si>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</si>
  <si>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</si>
  <si>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</si>
  <si>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</si>
  <si>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</si>
  <si>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</si>
  <si>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</si>
  <si>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</si>
  <si>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</si>
  <si>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</si>
  <si>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</si>
  <si>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</si>
  <si>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</si>
  <si>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</si>
  <si>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</si>
  <si>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</si>
  <si>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</si>
  <si>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</si>
  <si>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</si>
  <si>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</si>
  <si>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</si>
  <si>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</si>
  <si>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</si>
  <si>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</si>
  <si>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</si>
  <si>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</si>
  <si>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</si>
  <si>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</si>
  <si>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</si>
  <si>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</si>
  <si>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</si>
  <si>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</si>
  <si>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</si>
  <si>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</si>
  <si>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</si>
  <si>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</si>
  <si>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</si>
  <si>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</si>
  <si>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</si>
  <si>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</si>
  <si>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</si>
  <si>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</si>
  <si>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</si>
  <si>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</si>
  <si>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</si>
  <si>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</si>
  <si>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</si>
  <si>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</si>
  <si>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</si>
  <si>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</si>
  <si>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</si>
  <si>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</si>
  <si>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</si>
  <si>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</si>
  <si>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</si>
  <si>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</si>
  <si>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</si>
  <si>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</si>
  <si>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</si>
  <si>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</si>
  <si>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</si>
  <si>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</si>
  <si>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</si>
  <si>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</si>
  <si>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</si>
  <si>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</si>
  <si>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</si>
  <si>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</si>
  <si>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</si>
  <si>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</si>
  <si>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</si>
  <si>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</si>
  <si>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</si>
  <si>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</si>
  <si>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</si>
  <si>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</si>
  <si>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</si>
  <si>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</si>
  <si>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</si>
  <si>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</si>
  <si>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</si>
  <si>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</si>
  <si>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</si>
  <si>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</si>
  <si>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</si>
  <si>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</si>
  <si>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</si>
  <si>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</si>
  <si>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</si>
  <si>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</si>
  <si>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</si>
  <si>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</si>
  <si>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</si>
  <si>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</si>
  <si>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</si>
  <si>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</si>
  <si>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</si>
  <si>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</si>
  <si>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</si>
  <si>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</si>
  <si>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</si>
  <si>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</si>
  <si>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</si>
  <si>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</si>
  <si>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</si>
  <si>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</si>
  <si>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</si>
  <si>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</si>
  <si>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</si>
  <si>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</si>
  <si>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</si>
  <si>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</si>
  <si>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</si>
  <si>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</si>
  <si>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</si>
  <si>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</si>
  <si>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</si>
  <si>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</si>
  <si>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</si>
  <si>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</si>
  <si>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</si>
  <si>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</si>
  <si>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</si>
  <si>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</si>
  <si>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</si>
  <si>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</si>
  <si>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</si>
  <si>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</si>
  <si>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</si>
  <si>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</si>
  <si>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</si>
  <si>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</si>
  <si>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</si>
  <si>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</si>
  <si>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</si>
  <si>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</si>
  <si>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</si>
  <si>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</si>
  <si>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</si>
  <si>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</si>
  <si>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</si>
  <si>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</si>
  <si>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</si>
  <si>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</si>
  <si>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</si>
  <si>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</si>
  <si>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</si>
  <si>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</si>
  <si>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</si>
  <si>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</si>
  <si>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</si>
  <si>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</si>
  <si>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</si>
  <si>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</si>
  <si>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</si>
  <si>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</si>
  <si>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</si>
  <si>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</si>
  <si>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</si>
  <si>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</si>
  <si>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</si>
  <si>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</si>
  <si>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</si>
  <si>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</si>
  <si>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</si>
  <si>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</si>
  <si>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</si>
  <si>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</si>
  <si>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</si>
  <si>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</si>
  <si>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</si>
  <si>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</si>
  <si>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</si>
  <si>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</si>
  <si>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</si>
  <si>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</si>
  <si>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</si>
  <si>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</si>
  <si>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</si>
  <si>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</si>
  <si>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</si>
  <si>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</si>
  <si>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</si>
  <si>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</si>
  <si>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</si>
  <si>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</si>
  <si>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</si>
  <si>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</si>
  <si>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</si>
  <si>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</si>
  <si>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</si>
  <si>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</si>
  <si>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</si>
  <si>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</si>
  <si>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</si>
  <si>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</si>
  <si>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</si>
  <si>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</si>
  <si>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</si>
  <si>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</si>
  <si>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</si>
  <si>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</si>
  <si>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</si>
  <si>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</si>
  <si>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</si>
  <si>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</si>
  <si>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</si>
  <si>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</si>
  <si>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</si>
  <si>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</si>
  <si>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</si>
  <si>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</si>
  <si>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</si>
  <si>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</si>
  <si>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</si>
  <si>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</si>
  <si>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</si>
  <si>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</si>
  <si>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</si>
  <si>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</si>
  <si>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</si>
  <si>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</si>
  <si>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</si>
  <si>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</si>
  <si>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</si>
  <si>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</si>
  <si>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</si>
  <si>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</si>
  <si>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</si>
  <si>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</si>
  <si>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</si>
  <si>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</si>
  <si>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</si>
  <si>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</si>
  <si>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</si>
  <si>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</si>
  <si>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</si>
  <si>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</si>
  <si>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</si>
  <si>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</si>
  <si>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</si>
  <si>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</si>
  <si>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</si>
  <si>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</si>
  <si>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</si>
  <si>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</si>
  <si>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</si>
  <si>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</si>
  <si>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</si>
  <si>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</si>
  <si>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</si>
  <si>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</si>
  <si>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</si>
  <si>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</si>
  <si>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</si>
  <si>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</si>
  <si>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</si>
  <si>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</si>
  <si>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</si>
  <si>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</si>
  <si>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</si>
  <si>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</si>
  <si>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</si>
  <si>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</si>
  <si>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</si>
  <si>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</si>
  <si>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</si>
  <si>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</si>
  <si>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</si>
  <si>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</si>
  <si>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</si>
  <si>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</si>
  <si>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</si>
  <si>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</si>
  <si>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</si>
  <si>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</si>
  <si>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</si>
  <si>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</si>
  <si>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</si>
  <si>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</si>
  <si>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</si>
  <si>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</si>
  <si>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</si>
  <si>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</si>
  <si>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</si>
  <si>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</si>
  <si>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</si>
  <si>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</si>
  <si>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</si>
  <si>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</si>
  <si>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</si>
  <si>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</si>
  <si>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</si>
  <si>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</si>
  <si>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</si>
  <si>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</si>
  <si>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</si>
  <si>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</si>
  <si>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</si>
  <si>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</si>
  <si>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</si>
  <si>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</si>
  <si>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</si>
  <si>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</si>
  <si>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</si>
  <si>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</si>
  <si>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</si>
  <si>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</si>
  <si>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</si>
  <si>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</si>
  <si>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</si>
  <si>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</si>
  <si>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</si>
  <si>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</si>
  <si>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</si>
  <si>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</si>
  <si>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</si>
  <si>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</si>
  <si>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</si>
  <si>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</si>
  <si>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</si>
  <si>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</si>
  <si>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</si>
  <si>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</si>
  <si>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</si>
  <si>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</si>
  <si>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</si>
  <si>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</si>
  <si>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</si>
  <si>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</si>
  <si>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</si>
  <si>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</si>
  <si>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</si>
  <si>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</si>
  <si>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</si>
  <si>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</si>
  <si>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</si>
  <si>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</si>
  <si>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</si>
  <si>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</si>
  <si>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</si>
  <si>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</si>
  <si>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</si>
  <si>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</si>
  <si>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</si>
  <si>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</si>
  <si>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</si>
  <si>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</si>
  <si>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</si>
  <si>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</si>
  <si>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</si>
  <si>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</si>
  <si>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</si>
  <si>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</si>
  <si>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</si>
  <si>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</si>
  <si>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</si>
  <si>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</si>
  <si>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</si>
  <si>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</si>
  <si>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</si>
  <si>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</si>
  <si>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</si>
  <si>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</si>
  <si>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</si>
  <si>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</si>
  <si>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</si>
  <si>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</si>
  <si>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</si>
  <si>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</si>
  <si>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</si>
  <si>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</si>
  <si>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</si>
  <si>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</si>
  <si>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</si>
  <si>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</si>
  <si>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</si>
  <si>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</si>
  <si>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</si>
  <si>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</si>
  <si>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</si>
  <si>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</si>
  <si>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</si>
  <si>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</si>
  <si>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</si>
  <si>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</si>
  <si>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</si>
  <si>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</si>
  <si>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</si>
  <si>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</si>
  <si>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</si>
  <si>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</si>
  <si>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</si>
  <si>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</si>
  <si>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</si>
  <si>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</si>
  <si>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</si>
  <si>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</si>
  <si>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</si>
  <si>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</si>
  <si>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</si>
  <si>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</si>
  <si>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</si>
  <si>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</si>
  <si>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</si>
  <si>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</si>
  <si>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</si>
  <si>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</si>
  <si>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</si>
  <si>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</si>
  <si>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</si>
  <si>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</si>
  <si>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</si>
  <si>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</si>
  <si>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</si>
  <si>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</si>
  <si>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</si>
  <si>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</si>
  <si>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</si>
  <si>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</si>
  <si>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</si>
  <si>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</si>
  <si>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</si>
  <si>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</si>
  <si>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</si>
  <si>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</si>
  <si>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</si>
  <si>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</si>
  <si>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</si>
  <si>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</si>
  <si>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</si>
  <si>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</si>
  <si>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</si>
  <si>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</si>
  <si>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</si>
  <si>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</si>
  <si>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</si>
  <si>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</si>
  <si>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</si>
  <si>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</si>
  <si>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</si>
  <si>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</si>
  <si>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</si>
  <si>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</si>
  <si>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</si>
  <si>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</si>
  <si>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</si>
  <si>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</si>
  <si>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</si>
  <si>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</si>
  <si>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LA LINEA DE LA CONCEPCION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</si>
</sst>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zaZynzKuuuwImeq0loPAuIfhYVv+IY8M4pOrnV4ji7cyOmoonoD84f6YIoPzSoOpKIS3ThRqC33jUd6yTvJg==" saltValue="JINXx1AQsAY2/rzYjKON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74.020833333333343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2023</v>
      </c>
      <c r="D16" s="225">
        <f>IF(ISNUMBER(IF(D_I="SI",Datos!I16,Datos!I16+Datos!AC16)),IF(D_I="SI",Datos!I16,Datos!I16+Datos!AC16)," - ")</f>
        <v>2023</v>
      </c>
      <c r="E16" s="226">
        <f>IF(ISNUMBER(IF(D_I="SI",Datos!J16,Datos!J16+Datos!AD16)),IF(D_I="SI",Datos!J16,Datos!J16+Datos!AD16)," - ")</f>
        <v>713</v>
      </c>
      <c r="F16" s="226">
        <f>IF(ISNUMBER(IF(D_I="SI",Datos!K16,Datos!K16+Datos!AE16)),IF(D_I="SI",Datos!K16,Datos!K16+Datos!AE16)," - ")</f>
        <v>638</v>
      </c>
      <c r="G16" s="1034" t="str">
        <f>IF(Datos!E16&lt;&gt;"",Datos!E16,Datos!D16)</f>
        <v>04</v>
      </c>
      <c r="H16" s="227">
        <f>IF(ISNUMBER(IF(D_I="SI",Datos!L16,Datos!L16+Datos!AF16)),IF(D_I="SI",Datos!L16,Datos!L16+Datos!AF16)," - ")</f>
        <v>2098</v>
      </c>
      <c r="I16" s="1044" t="str">
        <f>IF(ISNUMBER(Datos!AS16/Datos!BM16),Datos!AS16/Datos!BM16," - ")</f>
        <v xml:space="preserve"> - </v>
      </c>
      <c r="J16" s="1045">
        <f>IF(ISNUMBER(Datos!BY16/Datos!CN16),Datos!BY16/Datos!CN16," - ")</f>
        <v>0</v>
      </c>
      <c r="K16" s="230">
        <f t="shared" si="3"/>
        <v>3.7073652990608011E-2</v>
      </c>
      <c r="L16" s="1025">
        <f>IF(ISNUMBER(NºAsuntos!I16/NºAsuntos!G16),(NºAsuntos!I16/NºAsuntos!G16)*11," - ")</f>
        <v>36.172413793103452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v>
      </c>
      <c r="D17" s="225">
        <f>IF(ISNUMBER(IF(D_I="SI",Datos!I17,Datos!I17+Datos!AC17)),IF(D_I="SI",Datos!I17,Datos!I17+Datos!AC17)," - ")</f>
        <v>68</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0</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2041</v>
      </c>
      <c r="D18" s="1049">
        <f>SUBTOTAL(9,D15:D17)</f>
        <v>2091</v>
      </c>
      <c r="E18" s="1050">
        <f>SUBTOTAL(9,E15:E17)</f>
        <v>713</v>
      </c>
      <c r="F18" s="1050">
        <f>SUBTOTAL(9,F15:F17)</f>
        <v>638</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2041</v>
      </c>
      <c r="D19" s="1071">
        <f>SUBTOTAL(9,D9:D18)</f>
        <v>2091</v>
      </c>
      <c r="E19" s="1072">
        <f>SUBTOTAL(9,E9:E18)</f>
        <v>713</v>
      </c>
      <c r="F19" s="1072">
        <f>SUBTOTAL(9,F9:F18)</f>
        <v>638</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yFf8gswPJ7fxGi0mka1GGhy6FaOOTkgaUnC/cgWRvgvN8Kasd7O9nJw54jS08lcMlRpxKCzTL7cmkZUbU94Wg==" saltValue="03MC2ZHOMKl6u9EfdPCm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9axwuxBDO/tM/07T3I1E2Q34NcBJ0mFhfEkOU/uiSJJmjBbCtUoh/0aQJ7Wd2ipqjZ1w/1vg/+hlZAd3AQnwQ==" saltValue="xFkftQzeIaPfYOtCBjO0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3626</v>
      </c>
      <c r="J12" s="183">
        <v>748</v>
      </c>
      <c r="K12" s="183">
        <v>534</v>
      </c>
      <c r="L12" s="183">
        <v>3840</v>
      </c>
      <c r="M12" s="183">
        <v>181</v>
      </c>
      <c r="N12" s="183">
        <v>180</v>
      </c>
      <c r="O12" s="181">
        <v>188</v>
      </c>
      <c r="P12" s="183">
        <v>109</v>
      </c>
      <c r="Q12" s="183">
        <v>28</v>
      </c>
      <c r="R12" s="183">
        <v>3863</v>
      </c>
      <c r="S12" s="183">
        <v>3024</v>
      </c>
      <c r="T12" s="183">
        <v>607</v>
      </c>
      <c r="U12" s="183">
        <v>582</v>
      </c>
      <c r="V12" s="183">
        <v>2969</v>
      </c>
      <c r="W12" s="183">
        <v>121</v>
      </c>
      <c r="X12" s="189">
        <v>250</v>
      </c>
      <c r="Y12" s="191">
        <v>40</v>
      </c>
      <c r="Z12" s="181">
        <v>38</v>
      </c>
      <c r="AA12" s="181">
        <v>42</v>
      </c>
      <c r="AB12" s="181">
        <v>36</v>
      </c>
      <c r="AC12" s="183">
        <v>0</v>
      </c>
      <c r="AD12" s="183">
        <v>0</v>
      </c>
      <c r="AE12" s="183">
        <v>0</v>
      </c>
      <c r="AF12" s="189">
        <v>0</v>
      </c>
      <c r="AG12" s="202">
        <v>50</v>
      </c>
      <c r="AH12" s="183">
        <v>51</v>
      </c>
      <c r="AI12" s="183">
        <v>55</v>
      </c>
      <c r="AJ12" s="203">
        <v>46</v>
      </c>
      <c r="AK12" s="182">
        <v>0</v>
      </c>
      <c r="AL12" s="183">
        <v>0</v>
      </c>
      <c r="AM12" s="183">
        <v>0</v>
      </c>
      <c r="AN12" s="189">
        <v>0</v>
      </c>
      <c r="AO12" s="259">
        <v>5</v>
      </c>
      <c r="AP12" s="155">
        <v>5</v>
      </c>
      <c r="AQ12" s="155">
        <v>5</v>
      </c>
      <c r="AR12" s="154">
        <v>5</v>
      </c>
      <c r="AS12" s="340" t="s">
        <v>802</v>
      </c>
      <c r="AT12" s="203"/>
      <c r="AU12" s="202"/>
      <c r="AV12" s="203"/>
      <c r="AW12" s="202"/>
      <c r="AX12" s="203"/>
      <c r="AY12" s="126">
        <f t="shared" si="1"/>
        <v>3074</v>
      </c>
      <c r="AZ12" s="127">
        <f t="shared" si="1"/>
        <v>658</v>
      </c>
      <c r="BA12" s="127">
        <f t="shared" si="1"/>
        <v>637</v>
      </c>
      <c r="BB12" s="127">
        <f t="shared" si="1"/>
        <v>3015</v>
      </c>
      <c r="BC12" s="125">
        <f>IF(ISNUMBER(X12),X12," - ")</f>
        <v>250</v>
      </c>
      <c r="BD12" s="126">
        <f t="shared" si="2"/>
        <v>0.96808510638297873</v>
      </c>
      <c r="BE12" s="127">
        <f t="shared" si="3"/>
        <v>4.7331240188383044</v>
      </c>
      <c r="BF12" s="127">
        <f t="shared" si="4"/>
        <v>0.39246467817896391</v>
      </c>
      <c r="BG12" s="196">
        <f t="shared" si="5"/>
        <v>5.8587127158555727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3626</v>
      </c>
      <c r="J13" s="184">
        <f t="shared" si="6"/>
        <v>748</v>
      </c>
      <c r="K13" s="184">
        <f t="shared" si="6"/>
        <v>534</v>
      </c>
      <c r="L13" s="184">
        <f t="shared" si="6"/>
        <v>3840</v>
      </c>
      <c r="M13" s="184">
        <f t="shared" si="6"/>
        <v>181</v>
      </c>
      <c r="N13" s="184">
        <f t="shared" si="6"/>
        <v>180</v>
      </c>
      <c r="O13" s="184">
        <f t="shared" si="6"/>
        <v>188</v>
      </c>
      <c r="P13" s="184">
        <f t="shared" si="6"/>
        <v>109</v>
      </c>
      <c r="Q13" s="184">
        <f t="shared" si="6"/>
        <v>28</v>
      </c>
      <c r="R13" s="184">
        <f t="shared" si="6"/>
        <v>3863</v>
      </c>
      <c r="S13" s="184">
        <f t="shared" si="6"/>
        <v>3024</v>
      </c>
      <c r="T13" s="184">
        <f t="shared" si="6"/>
        <v>607</v>
      </c>
      <c r="U13" s="184">
        <f t="shared" si="6"/>
        <v>582</v>
      </c>
      <c r="V13" s="184">
        <f t="shared" si="6"/>
        <v>2969</v>
      </c>
      <c r="W13" s="184">
        <f t="shared" si="6"/>
        <v>121</v>
      </c>
      <c r="X13" s="184">
        <f t="shared" si="6"/>
        <v>250</v>
      </c>
      <c r="Y13" s="184">
        <f t="shared" si="6"/>
        <v>40</v>
      </c>
      <c r="Z13" s="184">
        <f t="shared" si="6"/>
        <v>38</v>
      </c>
      <c r="AA13" s="184">
        <f t="shared" si="6"/>
        <v>42</v>
      </c>
      <c r="AB13" s="184">
        <f t="shared" si="6"/>
        <v>36</v>
      </c>
      <c r="AC13" s="184">
        <f t="shared" si="6"/>
        <v>0</v>
      </c>
      <c r="AD13" s="184">
        <f t="shared" si="6"/>
        <v>0</v>
      </c>
      <c r="AE13" s="184">
        <f t="shared" si="6"/>
        <v>0</v>
      </c>
      <c r="AF13" s="184">
        <f>SUBTOTAL(9,AF9:AF12)</f>
        <v>0</v>
      </c>
      <c r="AG13" s="184">
        <f t="shared" ref="AG13:AT13" si="7">SUBTOTAL(9,AG8:AG12)</f>
        <v>50</v>
      </c>
      <c r="AH13" s="184">
        <f t="shared" si="7"/>
        <v>51</v>
      </c>
      <c r="AI13" s="184">
        <f t="shared" si="7"/>
        <v>55</v>
      </c>
      <c r="AJ13" s="184">
        <f t="shared" si="7"/>
        <v>46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3074</v>
      </c>
      <c r="AZ13" s="184">
        <f>SUBTOTAL(9,AZ8:AZ12)</f>
        <v>658</v>
      </c>
      <c r="BA13" s="184">
        <f>SUBTOTAL(9,BA8:BA12)</f>
        <v>637</v>
      </c>
      <c r="BB13" s="184">
        <f>SUBTOTAL(9,BB8:BB12)</f>
        <v>3015</v>
      </c>
      <c r="BC13" s="184">
        <f>SUBTOTAL(9,BC8:BC12)</f>
        <v>250</v>
      </c>
      <c r="BD13" s="205">
        <f>IF(ISNUMBER(BA13/AZ13),BA13/AZ13," - ")</f>
        <v>0.96808510638297873</v>
      </c>
      <c r="BE13" s="206">
        <f>IF(ISNUMBER(BB13/BA13),BB13/BA13, " - ")</f>
        <v>4.7331240188383044</v>
      </c>
      <c r="BF13" s="206">
        <f>IF(ISNUMBER(BC13/BA13),BC13/BA13, " - ")</f>
        <v>0.39246467817896391</v>
      </c>
      <c r="BG13" s="207">
        <f>IF(ISNUMBER((AY13+AZ13)/BA13),(AY13+AZ13)/BA13," - ")</f>
        <v>5.8587127158555727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2023</v>
      </c>
      <c r="J16" s="183">
        <v>713</v>
      </c>
      <c r="K16" s="183">
        <v>638</v>
      </c>
      <c r="L16" s="183">
        <v>2098</v>
      </c>
      <c r="M16" s="183">
        <v>128</v>
      </c>
      <c r="N16" s="183">
        <v>309</v>
      </c>
      <c r="O16" s="181">
        <v>0</v>
      </c>
      <c r="P16" s="183">
        <v>29</v>
      </c>
      <c r="Q16" s="183">
        <v>47</v>
      </c>
      <c r="R16" s="183">
        <v>223</v>
      </c>
      <c r="S16" s="183">
        <v>1985</v>
      </c>
      <c r="T16" s="183">
        <v>1104</v>
      </c>
      <c r="U16" s="183">
        <v>1010</v>
      </c>
      <c r="V16" s="183">
        <v>2081</v>
      </c>
      <c r="W16" s="183">
        <v>128</v>
      </c>
      <c r="X16" s="189">
        <v>603</v>
      </c>
      <c r="Y16" s="202">
        <v>0</v>
      </c>
      <c r="Z16" s="183">
        <v>0</v>
      </c>
      <c r="AA16" s="183">
        <v>0</v>
      </c>
      <c r="AB16" s="183">
        <v>0</v>
      </c>
      <c r="AC16" s="183">
        <v>12</v>
      </c>
      <c r="AD16" s="183">
        <v>59</v>
      </c>
      <c r="AE16" s="183">
        <v>61</v>
      </c>
      <c r="AF16" s="189">
        <v>10</v>
      </c>
      <c r="AG16" s="202">
        <v>0</v>
      </c>
      <c r="AH16" s="183">
        <v>0</v>
      </c>
      <c r="AI16" s="183">
        <v>0</v>
      </c>
      <c r="AJ16" s="203">
        <v>0</v>
      </c>
      <c r="AK16" s="182">
        <v>6</v>
      </c>
      <c r="AL16" s="183">
        <v>62</v>
      </c>
      <c r="AM16" s="183">
        <v>68</v>
      </c>
      <c r="AN16" s="189">
        <v>0</v>
      </c>
      <c r="AO16" s="259">
        <v>5</v>
      </c>
      <c r="AP16" s="155">
        <v>5</v>
      </c>
      <c r="AQ16" s="155">
        <v>5</v>
      </c>
      <c r="AR16" s="155">
        <v>5</v>
      </c>
      <c r="AS16" s="340" t="s">
        <v>487</v>
      </c>
      <c r="AT16" s="203"/>
      <c r="AU16" s="202"/>
      <c r="AV16" s="203"/>
      <c r="AW16" s="202"/>
      <c r="AX16" s="203"/>
      <c r="AY16" s="126">
        <f t="shared" si="9"/>
        <v>1985</v>
      </c>
      <c r="AZ16" s="127">
        <f t="shared" si="9"/>
        <v>1104</v>
      </c>
      <c r="BA16" s="127">
        <f t="shared" si="9"/>
        <v>1010</v>
      </c>
      <c r="BB16" s="127">
        <f t="shared" si="9"/>
        <v>2081</v>
      </c>
      <c r="BC16" s="125">
        <f>IF(ISNUMBER(W16),W16," - ")</f>
        <v>128</v>
      </c>
      <c r="BD16" s="126">
        <f t="shared" ref="BD16" si="11">IF(ISNUMBER(BA16/AZ16),BA16/AZ16," - ")</f>
        <v>0.91485507246376807</v>
      </c>
      <c r="BE16" s="127">
        <f t="shared" ref="BE16" si="12">IF(ISNUMBER(BB16/BA16),BB16/BA16, " - ")</f>
        <v>2.0603960396039604</v>
      </c>
      <c r="BF16" s="127">
        <f t="shared" ref="BF16" si="13">IF(ISNUMBER(BC16/BA16),BC16/BA16, " - ")</f>
        <v>0.12673267326732673</v>
      </c>
      <c r="BG16" s="196">
        <f t="shared" si="10"/>
        <v>3.0584158415841585</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68</v>
      </c>
      <c r="J17" s="183">
        <v>0</v>
      </c>
      <c r="K17" s="183">
        <v>0</v>
      </c>
      <c r="L17" s="183">
        <v>18</v>
      </c>
      <c r="M17" s="183">
        <v>0</v>
      </c>
      <c r="N17" s="183">
        <v>0</v>
      </c>
      <c r="O17" s="183">
        <v>0</v>
      </c>
      <c r="P17" s="183">
        <v>0</v>
      </c>
      <c r="Q17" s="183">
        <v>0</v>
      </c>
      <c r="R17" s="183">
        <v>0</v>
      </c>
      <c r="S17" s="183">
        <v>93</v>
      </c>
      <c r="T17" s="183">
        <v>7</v>
      </c>
      <c r="U17" s="183">
        <v>24</v>
      </c>
      <c r="V17" s="183">
        <v>82</v>
      </c>
      <c r="W17" s="183">
        <v>0</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93</v>
      </c>
      <c r="AZ17" s="129">
        <f t="shared" si="14"/>
        <v>7</v>
      </c>
      <c r="BA17" s="129">
        <f t="shared" si="14"/>
        <v>24</v>
      </c>
      <c r="BB17" s="129">
        <f t="shared" si="14"/>
        <v>82</v>
      </c>
      <c r="BC17" s="125">
        <f>IF(ISNUMBER(W17),W17," - ")</f>
        <v>0</v>
      </c>
      <c r="BD17" s="126">
        <f>IF(ISNUMBER(BA17/AZ17),BA17/AZ17," - ")</f>
        <v>3.4285714285714284</v>
      </c>
      <c r="BE17" s="127">
        <f>IF(ISNUMBER(BB17/BA17),BB17/BA17, " - ")</f>
        <v>3.4166666666666665</v>
      </c>
      <c r="BF17" s="127">
        <f>IF(ISNUMBER(BC17/BA17),BC17/BA17, " - ")</f>
        <v>0</v>
      </c>
      <c r="BG17" s="196">
        <f>IF(ISNUMBER((AY17+AZ17)/BA17),(AY17+AZ17)/BA17," - ")</f>
        <v>4.166666666666667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2091</v>
      </c>
      <c r="J18" s="184">
        <f t="shared" si="15"/>
        <v>713</v>
      </c>
      <c r="K18" s="184">
        <f t="shared" si="15"/>
        <v>638</v>
      </c>
      <c r="L18" s="184">
        <f t="shared" si="15"/>
        <v>2116</v>
      </c>
      <c r="M18" s="184">
        <f t="shared" si="15"/>
        <v>128</v>
      </c>
      <c r="N18" s="184">
        <f t="shared" si="15"/>
        <v>309</v>
      </c>
      <c r="O18" s="184">
        <f t="shared" si="15"/>
        <v>0</v>
      </c>
      <c r="P18" s="184">
        <f t="shared" si="15"/>
        <v>29</v>
      </c>
      <c r="Q18" s="184">
        <f t="shared" si="15"/>
        <v>47</v>
      </c>
      <c r="R18" s="184">
        <f t="shared" si="15"/>
        <v>223</v>
      </c>
      <c r="S18" s="184">
        <f t="shared" si="15"/>
        <v>2078</v>
      </c>
      <c r="T18" s="184">
        <f t="shared" si="15"/>
        <v>1111</v>
      </c>
      <c r="U18" s="184">
        <f t="shared" si="15"/>
        <v>1034</v>
      </c>
      <c r="V18" s="184">
        <f t="shared" si="15"/>
        <v>2163</v>
      </c>
      <c r="W18" s="184">
        <f t="shared" si="15"/>
        <v>128</v>
      </c>
      <c r="X18" s="184">
        <f t="shared" si="15"/>
        <v>617</v>
      </c>
      <c r="Y18" s="184">
        <f t="shared" si="15"/>
        <v>0</v>
      </c>
      <c r="Z18" s="184">
        <f t="shared" si="15"/>
        <v>0</v>
      </c>
      <c r="AA18" s="184">
        <f t="shared" si="15"/>
        <v>0</v>
      </c>
      <c r="AB18" s="184">
        <f t="shared" si="15"/>
        <v>0</v>
      </c>
      <c r="AC18" s="184">
        <f t="shared" si="15"/>
        <v>12</v>
      </c>
      <c r="AD18" s="184">
        <f t="shared" si="15"/>
        <v>59</v>
      </c>
      <c r="AE18" s="184">
        <f t="shared" si="15"/>
        <v>61</v>
      </c>
      <c r="AF18" s="184">
        <f t="shared" si="15"/>
        <v>10</v>
      </c>
      <c r="AG18" s="184">
        <f t="shared" si="15"/>
        <v>0</v>
      </c>
      <c r="AH18" s="184">
        <f t="shared" si="15"/>
        <v>0</v>
      </c>
      <c r="AI18" s="184">
        <f t="shared" si="15"/>
        <v>0</v>
      </c>
      <c r="AJ18" s="184">
        <f t="shared" si="15"/>
        <v>0</v>
      </c>
      <c r="AK18" s="184">
        <f t="shared" si="15"/>
        <v>6</v>
      </c>
      <c r="AL18" s="184">
        <f t="shared" si="15"/>
        <v>62</v>
      </c>
      <c r="AM18" s="184">
        <f t="shared" si="15"/>
        <v>68</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2078</v>
      </c>
      <c r="AZ18" s="184">
        <f>SUBTOTAL(9,AZ14:AZ17)</f>
        <v>1111</v>
      </c>
      <c r="BA18" s="184">
        <f>SUBTOTAL(9,BA14:BA17)</f>
        <v>1034</v>
      </c>
      <c r="BB18" s="184">
        <f>SUBTOTAL(9,BB14:BB17)</f>
        <v>2163</v>
      </c>
      <c r="BC18" s="184">
        <f>SUBTOTAL(9,BC14:BC17)</f>
        <v>128</v>
      </c>
      <c r="BD18" s="205">
        <f>IF(ISNUMBER(BA18/AZ18),BA18/AZ18," - ")</f>
        <v>0.93069306930693074</v>
      </c>
      <c r="BE18" s="206">
        <f>IF(ISNUMBER(BB18/BA18),BB18/BA18, " - ")</f>
        <v>2.0918762088974856</v>
      </c>
      <c r="BF18" s="206">
        <f>IF(ISNUMBER(BC18/BA18),BC18/BA18, " - ")</f>
        <v>0.12379110251450677</v>
      </c>
      <c r="BG18" s="207">
        <f>IF(ISNUMBER((AY18+AZ18)/BA18),(AY18+AZ18)/BA18," - ")</f>
        <v>3.0841392649903288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5717</v>
      </c>
      <c r="J19" s="134">
        <f t="shared" si="18"/>
        <v>1461</v>
      </c>
      <c r="K19" s="134">
        <f t="shared" si="18"/>
        <v>1172</v>
      </c>
      <c r="L19" s="134">
        <f t="shared" si="18"/>
        <v>5956</v>
      </c>
      <c r="M19" s="134">
        <f t="shared" si="18"/>
        <v>309</v>
      </c>
      <c r="N19" s="134">
        <f t="shared" si="18"/>
        <v>489</v>
      </c>
      <c r="O19" s="134">
        <f t="shared" si="18"/>
        <v>188</v>
      </c>
      <c r="P19" s="134">
        <f t="shared" si="18"/>
        <v>138</v>
      </c>
      <c r="Q19" s="134">
        <f t="shared" si="18"/>
        <v>75</v>
      </c>
      <c r="R19" s="134">
        <f t="shared" si="18"/>
        <v>4086</v>
      </c>
      <c r="S19" s="134">
        <f t="shared" si="18"/>
        <v>5102</v>
      </c>
      <c r="T19" s="134">
        <f t="shared" si="18"/>
        <v>1718</v>
      </c>
      <c r="U19" s="134">
        <f t="shared" si="18"/>
        <v>1616</v>
      </c>
      <c r="V19" s="134">
        <f t="shared" si="18"/>
        <v>5132</v>
      </c>
      <c r="W19" s="134">
        <f t="shared" si="18"/>
        <v>249</v>
      </c>
      <c r="X19" s="134">
        <f t="shared" si="18"/>
        <v>867</v>
      </c>
      <c r="Y19" s="134">
        <f t="shared" si="18"/>
        <v>40</v>
      </c>
      <c r="Z19" s="134">
        <f t="shared" si="18"/>
        <v>38</v>
      </c>
      <c r="AA19" s="134">
        <f t="shared" si="18"/>
        <v>42</v>
      </c>
      <c r="AB19" s="134">
        <f t="shared" si="18"/>
        <v>36</v>
      </c>
      <c r="AC19" s="134">
        <f t="shared" si="18"/>
        <v>12</v>
      </c>
      <c r="AD19" s="134">
        <f t="shared" si="18"/>
        <v>59</v>
      </c>
      <c r="AE19" s="134">
        <f t="shared" si="18"/>
        <v>61</v>
      </c>
      <c r="AF19" s="134">
        <f t="shared" si="18"/>
        <v>10</v>
      </c>
      <c r="AG19" s="134">
        <f t="shared" si="18"/>
        <v>50</v>
      </c>
      <c r="AH19" s="134">
        <f t="shared" si="18"/>
        <v>51</v>
      </c>
      <c r="AI19" s="134">
        <f t="shared" si="18"/>
        <v>55</v>
      </c>
      <c r="AJ19" s="134">
        <f t="shared" si="18"/>
        <v>46</v>
      </c>
      <c r="AK19" s="134">
        <f t="shared" si="18"/>
        <v>6</v>
      </c>
      <c r="AL19" s="134">
        <f t="shared" si="18"/>
        <v>62</v>
      </c>
      <c r="AM19" s="134">
        <f t="shared" si="18"/>
        <v>68</v>
      </c>
      <c r="AN19" s="210">
        <f t="shared" si="18"/>
        <v>0</v>
      </c>
      <c r="AO19" s="211">
        <v>6</v>
      </c>
      <c r="AP19" s="211">
        <v>5</v>
      </c>
      <c r="AQ19" s="211">
        <v>5</v>
      </c>
      <c r="AR19" s="211">
        <v>5</v>
      </c>
      <c r="AS19" s="153">
        <f t="shared" si="18"/>
        <v>0</v>
      </c>
      <c r="AT19" s="153">
        <f t="shared" si="18"/>
        <v>0</v>
      </c>
      <c r="AU19" s="211"/>
      <c r="AV19" s="212"/>
      <c r="AW19" s="211"/>
      <c r="AX19" s="212"/>
      <c r="AY19" s="133">
        <f>SUBTOTAL(9,AY9:AY18)</f>
        <v>5152</v>
      </c>
      <c r="AZ19" s="134">
        <f>SUBTOTAL(9,AZ9:AZ18)</f>
        <v>1769</v>
      </c>
      <c r="BA19" s="134">
        <f>SUBTOTAL(9,BA9:BA18)</f>
        <v>1671</v>
      </c>
      <c r="BB19" s="134">
        <f>SUBTOTAL(9,BB9:BB18)</f>
        <v>5178</v>
      </c>
      <c r="BC19" s="135">
        <f>SUBTOTAL(9,BC9:BC18)</f>
        <v>378</v>
      </c>
      <c r="BD19" s="213">
        <f>IF(ISNUMBER(BA19/AZ19),BA19/AZ19," - ")</f>
        <v>0.94460146975692483</v>
      </c>
      <c r="BE19" s="210">
        <f>IF(ISNUMBER(BB19/BA19),BB19/BA19, " - ")</f>
        <v>3.0987432675044881</v>
      </c>
      <c r="BF19" s="210">
        <f>IF(ISNUMBER(BC19/BA19),BC19/BA19, " - ")</f>
        <v>0.22621184919210055</v>
      </c>
      <c r="BG19" s="135">
        <f>IF(ISNUMBER((AY19+AZ19)/BA19),(AY19+AZ19)/BA19," - ")</f>
        <v>4.141831238779174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pa8TjPvjPYsBSVj1vBJV1iqgSiU+Zy9Zvv7pCLJJEaQyVBq2WKYg81CVd+7RLNpIVFHOWS9KdlsOCTM8LHq9A==" saltValue="jhUm+nxomC5ckrT7WzaW4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L0PMBaK9gwV5kGx771OWW1ig221Q1k7SM+eQhFkDtYXb5JJ4WtIZv6EKa/TiH7ECKKth0UeuMH/IjrgmwMf/A==" saltValue="VluM3uVSsVsmzSOAHtSi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LA LINEA DE LA CONCEPCION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v>
      </c>
      <c r="O12" s="334"/>
      <c r="P12" s="334"/>
      <c r="Q12" s="226">
        <f>IF(ISNUMBER(Datos!P12),Datos!P12,0)</f>
        <v>109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3863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181</v>
      </c>
      <c r="BD12" s="229">
        <f>IF(ISNUMBER(Datos!N12),Datos!N12," - ")</f>
        <v>180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0.73282442748091603</v>
      </c>
      <c r="BH12" s="260">
        <f>IF(ISNUMBER(((IF(J_V="SI",Datos!L12/Datos!K12,(Datos!L12+Datos!AB12)/(Datos!K12+Datos!AA12)))*11)/factor_trimestre),((IF(J_V="SI",Datos!L12/Datos!K12,(Datos!L12+Datos!AB12)/(Datos!K12+Datos!AA12)))*11)/factor_trimestre," - ")</f>
        <v>13.458333333333336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2.1417239555790588E-2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38</v>
      </c>
      <c r="O13" s="900">
        <f t="shared" si="0"/>
        <v>0</v>
      </c>
      <c r="P13" s="900">
        <f t="shared" si="0"/>
        <v>0</v>
      </c>
      <c r="Q13" s="899">
        <f t="shared" si="0"/>
        <v>109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28</v>
      </c>
      <c r="AD13" s="899">
        <f t="shared" si="1"/>
        <v>0</v>
      </c>
      <c r="AE13" s="899">
        <f t="shared" si="1"/>
        <v>0</v>
      </c>
      <c r="AF13" s="899">
        <f t="shared" si="1"/>
        <v>0</v>
      </c>
      <c r="AG13" s="899">
        <f t="shared" si="1"/>
        <v>0</v>
      </c>
      <c r="AH13" s="899">
        <f t="shared" si="1"/>
        <v>36</v>
      </c>
      <c r="AI13" s="899">
        <f t="shared" si="1"/>
        <v>0</v>
      </c>
      <c r="AJ13" s="899">
        <f t="shared" si="1"/>
        <v>0</v>
      </c>
      <c r="AK13" s="899">
        <f t="shared" si="1"/>
        <v>0</v>
      </c>
      <c r="AL13" s="899">
        <f t="shared" si="1"/>
        <v>0</v>
      </c>
      <c r="AM13" s="899">
        <f t="shared" si="1"/>
        <v>3863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181</v>
      </c>
      <c r="BD13" s="899">
        <f t="shared" si="1"/>
        <v>180</v>
      </c>
      <c r="BE13" s="899">
        <f t="shared" si="1"/>
        <v>0</v>
      </c>
      <c r="BF13" s="899">
        <f t="shared" si="1"/>
        <v>0</v>
      </c>
      <c r="BG13" s="899">
        <f>IF(ISNUMBER(Datos!K13/Datos!J13),Datos!K13/Datos!J13," - ")</f>
        <v>0.71390374331550799</v>
      </c>
      <c r="BH13" s="903">
        <f>IF(ISNUMBER(((Datos!L13/Datos!K13)*11)/factor_trimestre),((Datos!L13/Datos!K13)*11)/factor_trimestre," - ")</f>
        <v>14.382022471910112</v>
      </c>
      <c r="BI13" s="899">
        <f>IF(ISNUMBER('Resol  Asuntos'!D13/NºAsuntos!G13),'Resol  Asuntos'!D13/NºAsuntos!G13," - ")</f>
        <v>0.3142361111111111</v>
      </c>
      <c r="BJ13" s="899" t="str">
        <f>IF(ISNUMBER(Datos!CI13/Datos!CJ13),Datos!CI13/Datos!CJ13," - ")</f>
        <v xml:space="preserve"> - </v>
      </c>
      <c r="BK13" s="899">
        <f>SUBTOTAL(9,BK8:BK12)</f>
        <v>0</v>
      </c>
      <c r="BL13" s="899" t="str">
        <f>IF(ISNUMBER((I13-AB13+L13)/(F13)),(I13-AB13+L13)/(F13)," - ")</f>
        <v xml:space="preserve"> - </v>
      </c>
      <c r="BM13" s="904">
        <f>SUBTOTAL(9,BM9:BM12)</f>
        <v>2.1417239555790588E-2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2023</v>
      </c>
      <c r="G16" s="598">
        <f>IF(ISNUMBER(IF(D_I="SI",Datos!I16,Datos!I16+Datos!AC16)),IF(D_I="SI",Datos!I16,Datos!I16+Datos!AC16)," - ")</f>
        <v>2023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638</v>
      </c>
      <c r="AC16" s="226">
        <f>IF(ISNUMBER(Datos!Q16),Datos!Q16," - ")</f>
        <v>47</v>
      </c>
      <c r="AD16" s="334"/>
      <c r="AE16" s="484"/>
      <c r="AF16" s="596">
        <f>IF(ISNUMBER(IF(D_I="SI",Datos!L16,Datos!L16+Datos!AF16)),IF(D_I="SI",Datos!L16,Datos!L16+Datos!AF16)," - ")</f>
        <v>2098</v>
      </c>
      <c r="AG16" s="334"/>
      <c r="AH16" s="334"/>
      <c r="AI16" s="334"/>
      <c r="AJ16" s="334"/>
      <c r="AK16" s="334"/>
      <c r="AL16" s="479"/>
      <c r="AM16" s="335">
        <f>IF(ISNUMBER(Datos!R16),Datos!R16," - ")</f>
        <v>223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128</v>
      </c>
      <c r="BD16" s="229">
        <f>IF(ISNUMBER(Datos!N16),Datos!N16," - ")</f>
        <v>309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0.8948106591865358</v>
      </c>
      <c r="BH16" s="260">
        <f>IF(ISNUMBER(((IF(D_I="SI",Datos!L16/Datos!K16,(Datos!L16+Datos!AF16)/(Datos!K16+Datos!AE16)))*11)/factor_trimestre),((IF(D_I="SI",Datos!L16/Datos!K16,(Datos!L16+Datos!AF16)/(Datos!K16+Datos!AE16)))*11)/factor_trimestre," - ")</f>
        <v>6.5768025078369909</v>
      </c>
      <c r="BI16" s="243">
        <f>IF(ISNUMBER('Resol  Asuntos'!D16/NºAsuntos!G16),'Resol  Asuntos'!D16/NºAsuntos!G16," - ")</f>
        <v>0.20062695924764889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18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2023</v>
      </c>
      <c r="G18" s="898">
        <f>SUBTOTAL(9,G15:G17)</f>
        <v>2091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638</v>
      </c>
      <c r="AC18" s="899">
        <f t="shared" si="4"/>
        <v>47</v>
      </c>
      <c r="AD18" s="899">
        <f t="shared" si="4"/>
        <v>0</v>
      </c>
      <c r="AE18" s="899">
        <f t="shared" si="4"/>
        <v>0</v>
      </c>
      <c r="AF18" s="899">
        <f t="shared" si="4"/>
        <v>2116</v>
      </c>
      <c r="AG18" s="899">
        <f t="shared" si="4"/>
        <v>0</v>
      </c>
      <c r="AH18" s="899">
        <f t="shared" si="4"/>
        <v>0</v>
      </c>
      <c r="AI18" s="899">
        <f t="shared" si="4"/>
        <v>0</v>
      </c>
      <c r="AJ18" s="899">
        <f t="shared" si="4"/>
        <v>0</v>
      </c>
      <c r="AK18" s="899">
        <f t="shared" si="4"/>
        <v>0</v>
      </c>
      <c r="AL18" s="899">
        <f t="shared" si="4"/>
        <v>0</v>
      </c>
      <c r="AM18" s="899">
        <f t="shared" si="4"/>
        <v>223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128</v>
      </c>
      <c r="BD18" s="899">
        <f t="shared" si="4"/>
        <v>309</v>
      </c>
      <c r="BE18" s="899">
        <f t="shared" si="4"/>
        <v>0</v>
      </c>
      <c r="BF18" s="899">
        <f t="shared" si="4"/>
        <v>0</v>
      </c>
      <c r="BG18" s="899">
        <f>IF(ISNUMBER(Datos!K18/Datos!J18),Datos!K18/Datos!J18," - ")</f>
        <v>0.8948106591865358</v>
      </c>
      <c r="BH18" s="903">
        <f>IF(ISNUMBER(((Datos!L18/Datos!K18)*11)/factor_trimestre),((Datos!L18/Datos!K18)*11)/factor_trimestre," - ")</f>
        <v>6.6332288401253923</v>
      </c>
      <c r="BI18" s="899">
        <f>SUBTOTAL(9,BI15:BI17)</f>
        <v>0.20062695924764889</v>
      </c>
      <c r="BJ18" s="899">
        <f>SUBTOTAL(9,BJ15:BJ17)</f>
        <v>0</v>
      </c>
      <c r="BK18" s="899">
        <f>SUBTOTAL(9,BK15:BK17)</f>
        <v>0</v>
      </c>
      <c r="BL18" s="899">
        <f>IF(ISNUMBER((I18-AB18+L18)/(F18)),(I18-AB18+L18)/(F18)," - ")</f>
        <v>-0.31537320810677211</v>
      </c>
      <c r="BM18" s="905">
        <f>IF(ISNUMBER((Datos!P18-Datos!Q18)/(Datos!R18-Datos!P18+Datos!Q18)),(Datos!P18-Datos!Q18)/(Datos!R18-Datos!P18+Datos!Q18)," - ")</f>
        <v>-7.4688796680497924E-2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2023</v>
      </c>
      <c r="G19" s="820">
        <f t="shared" si="6"/>
        <v>2091</v>
      </c>
      <c r="H19" s="822">
        <f t="shared" si="6"/>
        <v>0</v>
      </c>
      <c r="I19" s="820">
        <f t="shared" si="6"/>
        <v>0</v>
      </c>
      <c r="J19" s="822">
        <f t="shared" si="6"/>
        <v>0</v>
      </c>
      <c r="K19" s="822">
        <f t="shared" si="6"/>
        <v>0</v>
      </c>
      <c r="L19" s="881">
        <f t="shared" si="6"/>
        <v>0</v>
      </c>
      <c r="M19" s="881">
        <f t="shared" si="6"/>
        <v>0</v>
      </c>
      <c r="N19" s="881">
        <f t="shared" si="6"/>
        <v>38</v>
      </c>
      <c r="O19" s="881">
        <f t="shared" si="6"/>
        <v>0</v>
      </c>
      <c r="P19" s="881">
        <f t="shared" si="6"/>
        <v>0</v>
      </c>
      <c r="Q19" s="822">
        <f t="shared" si="6"/>
        <v>138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638</v>
      </c>
      <c r="AC19" s="821">
        <f t="shared" si="7"/>
        <v>75</v>
      </c>
      <c r="AD19" s="821">
        <f t="shared" si="7"/>
        <v>0</v>
      </c>
      <c r="AE19" s="821">
        <f t="shared" si="7"/>
        <v>0</v>
      </c>
      <c r="AF19" s="828">
        <f t="shared" si="7"/>
        <v>2116</v>
      </c>
      <c r="AG19" s="828">
        <f t="shared" si="7"/>
        <v>0</v>
      </c>
      <c r="AH19" s="828">
        <f t="shared" si="7"/>
        <v>36</v>
      </c>
      <c r="AI19" s="828">
        <f t="shared" si="7"/>
        <v>0</v>
      </c>
      <c r="AJ19" s="821">
        <f t="shared" si="7"/>
        <v>0</v>
      </c>
      <c r="AK19" s="828">
        <f t="shared" si="7"/>
        <v>0</v>
      </c>
      <c r="AL19" s="828">
        <f t="shared" si="7"/>
        <v>0</v>
      </c>
      <c r="AM19" s="828">
        <f t="shared" si="7"/>
        <v>4086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309</v>
      </c>
      <c r="BD19" s="820">
        <f t="shared" si="7"/>
        <v>489</v>
      </c>
      <c r="BE19" s="820">
        <f t="shared" si="7"/>
        <v>0</v>
      </c>
      <c r="BF19" s="830">
        <f t="shared" si="7"/>
        <v>0</v>
      </c>
      <c r="BG19" s="915">
        <f>IF(ISNUMBER(Datos!K19/Datos!J19),Datos!K19/Datos!J19," - ")</f>
        <v>0.80219028062970565</v>
      </c>
      <c r="BH19" s="915">
        <f>IF(ISNUMBER(((Datos!L19/Datos!K19)*11)/factor_trimestre),((Datos!L19/Datos!K19)*11)/factor_trimestre," - ")</f>
        <v>10.16382252559727</v>
      </c>
      <c r="BI19" s="813">
        <f>IF(ISNUMBER(Datos!J19/Datos!I19),Datos!J19/Datos!I19," - ")</f>
        <v>0.25555361203428373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-0.31537320810677211</v>
      </c>
      <c r="BM19" s="889">
        <f>IF(ISNUMBER((Datos!P19-Datos!Q19+R19)/(Datos!R19-Datos!P19+Datos!Q19-R19)),(Datos!P19-Datos!Q19+R19)/(Datos!R19-Datos!P19+Datos!Q19-R19)," - ")</f>
        <v>1.5659955257270694E-2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1167.9795945706128</v>
      </c>
      <c r="G21" s="552">
        <f>IF(ISNUMBER(STDEV(G8:G18)),STDEV(G8:G18),"-")</f>
        <v>1114.855282088218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349.44699168829595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83.229802354685432</v>
      </c>
      <c r="BD21" s="551"/>
      <c r="BE21" s="551">
        <f>IF(ISNUMBER(STDEV(BE8:BE18)),STDEV(BE8:BE18),"-")</f>
        <v>0</v>
      </c>
      <c r="BF21" s="556">
        <f>IF(ISNUMBER(STDEV(BF8:BF18)),STDEV(BF8:BF18),"-")</f>
        <v>0</v>
      </c>
      <c r="BG21" s="775">
        <f>IF(ISNUMBER(STDEV(BG8:BG18)),STDEV(BG8:BG18),"-")</f>
        <v>9.9285654902741854E-2</v>
      </c>
      <c r="BH21" s="776">
        <f>IF(ISNUMBER(STDEV(BH8:BH18)),STDEV(BH8:BH18),"-")</f>
        <v>4.2402748027763213</v>
      </c>
      <c r="BI21" s="249">
        <f>IF(ISNUMBER(STDEV(BI8:BI18)),STDEV(BI8:BI18),"-")</f>
        <v>6.5592274410775017E-2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BqEF94L/wY/xRf807TULZ+F08hW9lbth/3/uCF9f5DLjlZysAr/qzYrHkI3mTRjt+DegpQ/VkO8l+kyjf4gMw==" saltValue="fzyq5GRG+2i+PKAVChp9V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LA LINEA DE LA CONCEPCION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v>
      </c>
      <c r="AA12" s="332" t="str">
        <f>IF(ISNUMBER(IF(J_V="SI",Datos!L12,Datos!L12+Datos!AB12)-IF(Monitorios="SI",Datos!CD12,0)),
                          IF(J_V="SI",Datos!L12,Datos!L12+Datos!AB12)-IF(Monitorios="SI",Datos!CD12,0),
                          " - ")</f>
        <v xml:space="preserve"> - </v>
      </c>
      <c r="AB12" s="334"/>
      <c r="AC12" s="334"/>
      <c r="AD12" s="484"/>
      <c r="AE12" s="484">
        <f>IF(ISNUMBER(Datos!R12),Datos!R12," - ")</f>
        <v>3863</v>
      </c>
      <c r="AF12" s="229" t="str">
        <f>IF(ISNUMBER(Datos!BV12),Datos!BV12," - ")</f>
        <v xml:space="preserve"> - </v>
      </c>
      <c r="AG12" s="225" t="str">
        <f>IF(ISNUMBER(Datos!DV12),Datos!DV12," - ")</f>
        <v xml:space="preserve"> - </v>
      </c>
      <c r="AH12" s="298"/>
      <c r="AI12" s="227"/>
      <c r="AJ12" s="225">
        <f>IF(ISNUMBER(Datos!M12),Datos!M12," - ")</f>
        <v>181</v>
      </c>
      <c r="AK12" s="229">
        <f>IF(ISNUMBER(Datos!N12),Datos!N12," - ")</f>
        <v>180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13.458333333333336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2.1417239555790588E-2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28</v>
      </c>
      <c r="AA13" s="900">
        <f t="shared" si="2"/>
        <v>0</v>
      </c>
      <c r="AB13" s="900">
        <f t="shared" si="2"/>
        <v>0</v>
      </c>
      <c r="AC13" s="900">
        <f t="shared" si="2"/>
        <v>0</v>
      </c>
      <c r="AD13" s="900">
        <f t="shared" si="2"/>
        <v>0</v>
      </c>
      <c r="AE13" s="900">
        <f t="shared" si="2"/>
        <v>3863</v>
      </c>
      <c r="AF13" s="908">
        <f t="shared" si="2"/>
        <v>0</v>
      </c>
      <c r="AG13" s="908">
        <f t="shared" si="2"/>
        <v>0</v>
      </c>
      <c r="AH13" s="908">
        <f t="shared" si="2"/>
        <v>0</v>
      </c>
      <c r="AI13" s="908">
        <f t="shared" si="2"/>
        <v>0</v>
      </c>
      <c r="AJ13" s="908">
        <f t="shared" si="2"/>
        <v>181</v>
      </c>
      <c r="AK13" s="908">
        <f t="shared" si="2"/>
        <v>180</v>
      </c>
      <c r="AL13" s="908">
        <f t="shared" si="2"/>
        <v>0</v>
      </c>
      <c r="AM13" s="908">
        <f t="shared" si="2"/>
        <v>0</v>
      </c>
      <c r="AN13" s="908">
        <f t="shared" si="2"/>
        <v>0</v>
      </c>
      <c r="AO13" s="904">
        <f>IF(ISNUMBER(((NºAsuntos!I13/NºAsuntos!G13)*11)/factor_trimestre),((NºAsuntos!I13/NºAsuntos!G13)*11)/factor_trimestre," - ")</f>
        <v>13.458333333333336</v>
      </c>
      <c r="AP13" s="910" t="str">
        <f>IF(ISNUMBER(Datos!CI13/Datos!CJ13),Datos!CI13/Datos!CJ13," - ")</f>
        <v xml:space="preserve"> - </v>
      </c>
      <c r="AQ13" s="928">
        <f t="shared" ref="AQ13:AV13" si="3">SUBTOTAL(9,AQ9:AQ12)</f>
        <v>0</v>
      </c>
      <c r="AR13" s="928">
        <f t="shared" si="3"/>
        <v>2.1417239555790588E-2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2023</v>
      </c>
      <c r="G16" s="225">
        <f>IF(ISNUMBER(IF(D_I="SI",Datos!I16,Datos!I16+Datos!AC16)),IF(D_I="SI",Datos!I16,Datos!I16+Datos!AC16)," - ")</f>
        <v>2023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638</v>
      </c>
      <c r="Z16" s="619">
        <f>IF(ISNUMBER(Datos!Q16),Datos!Q16," - ")</f>
        <v>47</v>
      </c>
      <c r="AA16" s="332">
        <f>IF(ISNUMBER(IF(D_I="SI",Datos!L16,Datos!L16+Datos!AF16)),IF(D_I="SI",Datos!L16,Datos!L16+Datos!AF16)," - ")</f>
        <v>2098</v>
      </c>
      <c r="AB16" s="334"/>
      <c r="AC16" s="334"/>
      <c r="AD16" s="484"/>
      <c r="AE16" s="484">
        <f>IF(ISNUMBER(Datos!R16),Datos!R16," - ")</f>
        <v>223</v>
      </c>
      <c r="AF16" s="229" t="str">
        <f>IF(ISNUMBER(Datos!BV16),Datos!BV16," - ")</f>
        <v xml:space="preserve"> - </v>
      </c>
      <c r="AG16" s="225"/>
      <c r="AH16" s="298"/>
      <c r="AI16" s="227"/>
      <c r="AJ16" s="225">
        <f>IF(ISNUMBER(Datos!M16),Datos!M16," - ")</f>
        <v>128</v>
      </c>
      <c r="AK16" s="229">
        <f>IF(ISNUMBER(Datos!N16),Datos!N16," - ")</f>
        <v>309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6.5768025078369909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18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2023</v>
      </c>
      <c r="G18" s="898">
        <f>SUBTOTAL(9,G15:G17)</f>
        <v>2091</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638</v>
      </c>
      <c r="Z18" s="932">
        <f t="shared" si="5"/>
        <v>47</v>
      </c>
      <c r="AA18" s="932">
        <f t="shared" si="5"/>
        <v>2116</v>
      </c>
      <c r="AB18" s="932">
        <f t="shared" si="5"/>
        <v>0</v>
      </c>
      <c r="AC18" s="932">
        <f t="shared" si="5"/>
        <v>0</v>
      </c>
      <c r="AD18" s="932">
        <f t="shared" si="5"/>
        <v>0</v>
      </c>
      <c r="AE18" s="932">
        <f t="shared" si="5"/>
        <v>223</v>
      </c>
      <c r="AF18" s="932">
        <f t="shared" si="5"/>
        <v>0</v>
      </c>
      <c r="AG18" s="932">
        <f t="shared" si="5"/>
        <v>0</v>
      </c>
      <c r="AH18" s="932">
        <f t="shared" si="5"/>
        <v>0</v>
      </c>
      <c r="AI18" s="932">
        <f t="shared" si="5"/>
        <v>0</v>
      </c>
      <c r="AJ18" s="932">
        <f t="shared" si="5"/>
        <v>128</v>
      </c>
      <c r="AK18" s="932">
        <f t="shared" si="5"/>
        <v>309</v>
      </c>
      <c r="AL18" s="932">
        <f t="shared" si="5"/>
        <v>0</v>
      </c>
      <c r="AM18" s="932">
        <f t="shared" si="5"/>
        <v>0</v>
      </c>
      <c r="AN18" s="932">
        <f t="shared" si="5"/>
        <v>0</v>
      </c>
      <c r="AO18" s="934">
        <f>IF(ISNUMBER(((NºAsuntos!I18/NºAsuntos!G18)*11)/factor_trimestre),((NºAsuntos!I18/NºAsuntos!G18)*11)/factor_trimestre," - ")</f>
        <v>6.6332288401253923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2023</v>
      </c>
      <c r="G19" s="820">
        <f t="shared" si="7"/>
        <v>2091</v>
      </c>
      <c r="H19" s="821">
        <f t="shared" si="7"/>
        <v>0</v>
      </c>
      <c r="I19" s="820">
        <f t="shared" si="7"/>
        <v>0</v>
      </c>
      <c r="J19" s="822">
        <f t="shared" si="7"/>
        <v>0</v>
      </c>
      <c r="K19" s="820">
        <f t="shared" si="7"/>
        <v>0</v>
      </c>
      <c r="L19" s="823">
        <f t="shared" si="7"/>
        <v>0</v>
      </c>
      <c r="M19" s="820">
        <f t="shared" si="7"/>
        <v>0</v>
      </c>
      <c r="N19" s="821">
        <f t="shared" si="7"/>
        <v>138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638</v>
      </c>
      <c r="Z19" s="827">
        <f t="shared" si="8"/>
        <v>75</v>
      </c>
      <c r="AA19" s="828">
        <f t="shared" si="8"/>
        <v>2116</v>
      </c>
      <c r="AB19" s="828">
        <f t="shared" si="8"/>
        <v>0</v>
      </c>
      <c r="AC19" s="828">
        <f t="shared" si="8"/>
        <v>0</v>
      </c>
      <c r="AD19" s="829">
        <f t="shared" si="8"/>
        <v>0</v>
      </c>
      <c r="AE19" s="829">
        <f t="shared" si="8"/>
        <v>4086</v>
      </c>
      <c r="AF19" s="830">
        <f t="shared" si="8"/>
        <v>0</v>
      </c>
      <c r="AG19" s="831">
        <f t="shared" si="8"/>
        <v>0</v>
      </c>
      <c r="AH19" s="832">
        <f t="shared" si="8"/>
        <v>0</v>
      </c>
      <c r="AI19" s="830">
        <f t="shared" si="8"/>
        <v>0</v>
      </c>
      <c r="AJ19" s="820">
        <f t="shared" si="8"/>
        <v>309</v>
      </c>
      <c r="AK19" s="820">
        <f t="shared" si="8"/>
        <v>489</v>
      </c>
      <c r="AL19" s="820">
        <f t="shared" si="8"/>
        <v>0</v>
      </c>
      <c r="AM19" s="833">
        <f t="shared" si="8"/>
        <v>0</v>
      </c>
      <c r="AN19" s="823">
        <f>IF(ISNUMBER(Datos!K19/Datos!J19),Datos!K19/Datos!J19," - ")</f>
        <v>0.80219028062970565</v>
      </c>
      <c r="AO19" s="823">
        <f>IF(ISNUMBER(FIND("06",Criterios!A8,1)),(IF(ISNUMBER(((Datos!R19/Datos!Q19)*11)/factor_trimestre),((Datos!R19/Datos!Q19)*11)/factor_trimestre," - ")),(IF(ISNUMBER(((Datos!L19/Datos!K19)*11)/factor_trimestre),((Datos!L19/Datos!K19)*11)/factor_trimestre," - ")))</f>
        <v>10.16382252559727</v>
      </c>
      <c r="AP19" s="834" t="str">
        <f>IF(ISNUMBER(Datos!CI19/Datos!CJ19),Datos!CI19/Datos!CJ19," - ")</f>
        <v xml:space="preserve"> - </v>
      </c>
      <c r="AQ19" s="834">
        <f>IF(OR(ISNUMBER(FIND("01",Criterios!A8,1)),ISNUMBER(FIND("02",Criterios!A8,1)),ISNUMBER(FIND("03",Criterios!A8,1)),ISNUMBER(FIND("04",Criterios!A8,1))),(J19-Y19+K19)/(F19-K19),(I19-Y19+K19)/(F19-K19))</f>
        <v>-0.31537320810677211</v>
      </c>
      <c r="AR19" s="834">
        <f>IF(ISNUMBER((Datos!P19-Datos!Q19+O19)/(Datos!R19-Datos!P19+Datos!Q19-O19)),(Datos!P19-Datos!Q19+O19)/(Datos!R19-Datos!P19+Datos!Q19-O19)," - ")</f>
        <v>1.5659955257270694E-2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1167.9795945706128</v>
      </c>
      <c r="G21" s="552">
        <f>IF(ISNUMBER(STDEV(G8:G18)),STDEV(G8:G18),"-")</f>
        <v>1114.855282088218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83.229802354685432</v>
      </c>
      <c r="AK21" s="252"/>
      <c r="AL21" s="252">
        <f>IF(ISNUMBER(STDEV(AL8:AL18)),STDEV(AL8:AL18),"-")</f>
        <v>0</v>
      </c>
      <c r="AM21" s="254">
        <f>IF(ISNUMBER(STDEV(AM8:AM18)),STDEV(AM8:AM18),"-")</f>
        <v>0</v>
      </c>
      <c r="AN21" s="539">
        <f>IF(ISNUMBER(STDEV(AN8:AN18)),STDEV(AN8:AN18),"-")</f>
        <v>0</v>
      </c>
      <c r="AO21" s="540">
        <f>IF(ISNUMBER(STDEV(AO8:AO18)),STDEV(AO8:AO18),"-")</f>
        <v>3.9568318515986065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tREyb/VL0aAN1yzjLnxSQZUWdoMcpejbt4pOUafGC96qs9XgVUDkuEJH5WuHtK6iHHgl/XdQJ6w5kJnJZCnegQ==" saltValue="CLvvX2eY9ICT3m1KFJiFp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H2BDrzyTCJp4A2OkqDofHc/rnmSc+jYcq6AjmmfbeU8wH3xqm8IT4ZEfl6FVPVY55Azsbye0A8/YvYwxebTgg==" saltValue="azHwUtnbRK26VwKQDSdX4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CBlCFhNfjcAhCw9V9SED30c5wKQ7w3DxYi+R5ciG1OxNdZ1sWhPWeT+QIlWphe8+7I/3QFHji9cicRBNFh1NA==" saltValue="qldUAtzKTYg5K8XG4nPs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LA LINEA DE LA CONCEPCION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0.3142361111111111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0.22219848506035608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2n1A/irtwMck0VVOqUc5oXNmNnYb6xyvJSso+b261fVi0wUdkCm1obcAsJmBhZ1RF08AP8aBYncfr6oL8gQ/BQ==" saltValue="kWuYIcfdHmrYnlc+nkxO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lB2h4akfkEbKBnY9DgeYqWRGpd+DN6QCci/kqypb71s0XB4NaEMXVvstBy0KxHdMEWlNlc0DJe8Wcb+H1BMNg==" saltValue="I29gjGKQeu+Dl8pOG0A+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LA LINEA DE LA CONCEPCION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3666</v>
      </c>
      <c r="D12" s="404">
        <f>IF(ISNUMBER(C12/Datos!BH12),C12/Datos!BH12," - ")</f>
        <v>733.2</v>
      </c>
      <c r="E12" s="403">
        <f>IF(ISNUMBER(IF(J_V="SI",Datos!J12,Datos!J12+Datos!Z12)),IF(J_V="SI",Datos!J12,Datos!J12+Datos!Z12)," - ")</f>
        <v>786</v>
      </c>
      <c r="F12" s="404">
        <f>IF(ISNUMBER(E12/B12),E12/B12," - ")</f>
        <v>157.19999999999999</v>
      </c>
      <c r="G12" s="403">
        <f>IF(ISNUMBER(IF(J_V="SI",Datos!K12,Datos!K12+Datos!AA12)),IF(J_V="SI",Datos!K12,Datos!K12+Datos!AA12)," - ")</f>
        <v>576</v>
      </c>
      <c r="H12" s="404">
        <f>IF(ISNUMBER(G12/B12),G12/B12," - ")</f>
        <v>115.2</v>
      </c>
      <c r="I12" s="403">
        <f>IF(ISNUMBER(IF(J_V="SI",Datos!L12,Datos!L12+Datos!AB12)),IF(J_V="SI",Datos!L12,Datos!L12+Datos!AB12)," - ")</f>
        <v>3876</v>
      </c>
      <c r="J12" s="404">
        <f>IF(ISNUMBER(I12/B12),I12/B12," - ")</f>
        <v>775.2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3666</v>
      </c>
      <c r="D13" s="850" t="str">
        <f>IF(ISNUMBER(C13/Datos!BI13),C13/Datos!BI13," - ")</f>
        <v xml:space="preserve"> - </v>
      </c>
      <c r="E13" s="849">
        <f>SUBTOTAL(9,E8:E12)</f>
        <v>786</v>
      </c>
      <c r="F13" s="850">
        <f>IF(ISNUMBER(E13/B13),E13/B13," - ")</f>
        <v>157.19999999999999</v>
      </c>
      <c r="G13" s="849">
        <f>SUBTOTAL(9,G8:G12)</f>
        <v>576</v>
      </c>
      <c r="H13" s="850">
        <f>IF(ISNUMBER(G13/B13),G13/B13," - ")</f>
        <v>115.2</v>
      </c>
      <c r="I13" s="849">
        <f>SUBTOTAL(9,I8:I12)</f>
        <v>3876</v>
      </c>
      <c r="J13" s="850">
        <f>IF(ISNUMBER(I13/B13),I13/B13," - ")</f>
        <v>775.2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2023</v>
      </c>
      <c r="D16" s="404">
        <f>IF(ISNUMBER(C16/Datos!BH16),C16/Datos!BH16," - ")</f>
        <v>404.6</v>
      </c>
      <c r="E16" s="403">
        <f>IF(ISNUMBER(IF(D_I="SI",Datos!J16,Datos!J16+Datos!AD16)),IF(D_I="SI",Datos!J16,Datos!J16+Datos!AD16)," - ")</f>
        <v>713</v>
      </c>
      <c r="F16" s="404">
        <f>IF(ISNUMBER(E16/B16),E16/B16," - ")</f>
        <v>142.6</v>
      </c>
      <c r="G16" s="403">
        <f>IF(ISNUMBER(IF(D_I="SI",Datos!K16,Datos!K16+Datos!AE16)),IF(D_I="SI",Datos!K16,Datos!K16+Datos!AE16)," - ")</f>
        <v>638</v>
      </c>
      <c r="H16" s="404">
        <f>IF(ISNUMBER(G16/B16),G16/B16," - ")</f>
        <v>127.6</v>
      </c>
      <c r="I16" s="403">
        <f>IF(ISNUMBER(IF(D_I="SI",Datos!L16,Datos!L16+Datos!AF16)),IF(D_I="SI",Datos!L16,Datos!L16+Datos!AF16)," - ")</f>
        <v>2098</v>
      </c>
      <c r="J16" s="404">
        <f>IF(ISNUMBER(I16/B16),I16/B16," - ")</f>
        <v>419.6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68</v>
      </c>
      <c r="D17" s="404">
        <f>IF(ISNUMBER(C17/Datos!BH17),C17/Datos!BH17," - ")</f>
        <v>68</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2091</v>
      </c>
      <c r="D18" s="850" t="str">
        <f>IF(ISNUMBER(C18/Datos!BI18),C18/Datos!BI18," - ")</f>
        <v xml:space="preserve"> - </v>
      </c>
      <c r="E18" s="849">
        <f>SUBTOTAL(9,E14:E17)</f>
        <v>713</v>
      </c>
      <c r="F18" s="850">
        <f>IF(ISNUMBER(E18/B18),E18/B18," - ")</f>
        <v>142.6</v>
      </c>
      <c r="G18" s="849">
        <f>SUBTOTAL(9,G14:G17)</f>
        <v>638</v>
      </c>
      <c r="H18" s="850">
        <f>IF(ISNUMBER(G18/B18),G18/B18," - ")</f>
        <v>127.6</v>
      </c>
      <c r="I18" s="849">
        <f>SUBTOTAL(9,I14:I17)</f>
        <v>2116</v>
      </c>
      <c r="J18" s="850">
        <f>IF(ISNUMBER(I18/B18),I18/B18," - ")</f>
        <v>423.2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5757</v>
      </c>
      <c r="D19" s="795" t="str">
        <f>IF(ISNUMBER(C19/Datos!BI19),C19/Datos!BI19," - ")</f>
        <v xml:space="preserve"> - </v>
      </c>
      <c r="E19" s="794">
        <f>SUBTOTAL(9,E9:E18)</f>
        <v>1499</v>
      </c>
      <c r="F19" s="795">
        <f>IF(ISNUMBER(E19/B19),E19/B19," - ")</f>
        <v>299.8</v>
      </c>
      <c r="G19" s="794">
        <f>SUBTOTAL(9,G9:G18)</f>
        <v>1214</v>
      </c>
      <c r="H19" s="795">
        <f>IF(ISNUMBER(G19/B19),G19/B19," - ")</f>
        <v>242.8</v>
      </c>
      <c r="I19" s="794">
        <f>SUBTOTAL(9,I9:I18)</f>
        <v>5992</v>
      </c>
      <c r="J19" s="795">
        <f>IF(ISNUMBER(I19/B19),I19/B19," - ")</f>
        <v>1198.4000000000001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lREVt6kf67eb0plhuXnWZ8FFXAzW21JJ6XGrKDKLeQbyJaWr2wTpI97p0/PV9vm5kp6XyCh8ZmGiA5BjceZVA==" saltValue="7xpEj+mhJi34CSmkJ7Yy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LA LINEA DE LA CONCEPCION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3863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181</v>
      </c>
      <c r="AM12" s="690">
        <f>IF(ISNUMBER(Datos!N12+DatosP!N16),Datos!N12+DatosP!N16," - ")</f>
        <v>180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13.458333333333336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2.1417239555790588E-2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28</v>
      </c>
      <c r="AE13" s="939">
        <f t="shared" si="1"/>
        <v>0</v>
      </c>
      <c r="AF13" s="939">
        <f t="shared" si="1"/>
        <v>0</v>
      </c>
      <c r="AG13" s="939">
        <f t="shared" si="1"/>
        <v>0</v>
      </c>
      <c r="AH13" s="939">
        <f t="shared" si="1"/>
        <v>3863</v>
      </c>
      <c r="AI13" s="939">
        <f t="shared" si="1"/>
        <v>0</v>
      </c>
      <c r="AJ13" s="939">
        <f t="shared" si="1"/>
        <v>0</v>
      </c>
      <c r="AK13" s="939">
        <f t="shared" si="1"/>
        <v>0</v>
      </c>
      <c r="AL13" s="939">
        <f t="shared" si="1"/>
        <v>181</v>
      </c>
      <c r="AM13" s="939">
        <f t="shared" si="1"/>
        <v>180</v>
      </c>
      <c r="AN13" s="939">
        <f t="shared" si="1"/>
        <v>0</v>
      </c>
      <c r="AO13" s="939">
        <f t="shared" si="1"/>
        <v>0</v>
      </c>
      <c r="AP13" s="944">
        <f>IF(ISNUMBER(((Datos!L13/Datos!K13)*11)/factor_trimestre),((Datos!L13/Datos!K13)*11)/factor_trimestre," - ")</f>
        <v>14.382022471910112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2.1417239555790588E-2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6.6332288401253923</v>
      </c>
      <c r="AQ18" s="944">
        <f>IF(ISNUMBER(((Datos!M18/Datos!L18)*11)/factor_trimestre),((Datos!M18/Datos!L18)*11)/factor_trimestre," - ")</f>
        <v>0.12098298676748583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-7.4688796680497924E-2</v>
      </c>
      <c r="AW18" s="946">
        <f>IF(ISNUMBER((Datos!Q18-Datos!R18)/(Datos!S18-Datos!Q18+Datos!R18)),(Datos!Q18-Datos!R18)/(Datos!S18-Datos!Q18+Datos!R18)," - ")</f>
        <v>-7.8083407275953864E-2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28</v>
      </c>
      <c r="AE19" s="957">
        <f t="shared" si="5"/>
        <v>0</v>
      </c>
      <c r="AF19" s="958">
        <f t="shared" si="5"/>
        <v>0</v>
      </c>
      <c r="AG19" s="958">
        <f t="shared" si="5"/>
        <v>0</v>
      </c>
      <c r="AH19" s="958">
        <f t="shared" si="5"/>
        <v>3863</v>
      </c>
      <c r="AI19" s="958">
        <f t="shared" si="5"/>
        <v>0</v>
      </c>
      <c r="AJ19" s="959">
        <f t="shared" si="5"/>
        <v>0</v>
      </c>
      <c r="AK19" s="959">
        <f t="shared" si="5"/>
        <v>0</v>
      </c>
      <c r="AL19" s="951">
        <f t="shared" si="5"/>
        <v>181</v>
      </c>
      <c r="AM19" s="951">
        <f t="shared" si="5"/>
        <v>180</v>
      </c>
      <c r="AN19" s="951">
        <f t="shared" si="5"/>
        <v>0</v>
      </c>
      <c r="AO19" s="951">
        <f t="shared" si="5"/>
        <v>0</v>
      </c>
      <c r="AP19" s="951">
        <f>IF(ISNUMBER(((Datos!L19/Datos!K19)*11)/factor_trimestre),((Datos!L19/Datos!K19)*11)/factor_trimestre," - ")</f>
        <v>10.16382252559727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1.5659955257270694E-2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104.50039872332226</v>
      </c>
      <c r="AM21" s="736"/>
      <c r="AN21" s="736">
        <f>IF(ISNUMBER(STDEV(AN8:AN18)),STDEV(AN8:AN18),"-")</f>
        <v>0</v>
      </c>
      <c r="AO21" s="742">
        <f>IF(ISNUMBER(STDEV(AO8:AO18)),STDEV(AO8:AO18),"-")</f>
        <v>0</v>
      </c>
      <c r="AP21" s="779">
        <f>IF(ISNUMBER(STDEV(AP8:AP18)),STDEV(AP8:AP18),"-")</f>
        <v>4.2323960061238637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3X4YD01A8IRyog1abWpogGPqAqR3Bz4exTW+/IjHrrLG0SZnSNqUZOHPFb56gRoM3buWd+GKI6APdytwqgEd2g==" saltValue="PJtEy0JeT61rUL2tfigmZ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LA LINEA DE LA CONCEPCION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ZWncVQ2+9hwWNGXG1+eDYFSyFqAxCC8Yye8uoyhBwcQrRqVH2dWjxE/GpS1HPp2mrxH8EG+63uREdfwZLpvQA==" saltValue="av994ifGr30XBt5bWjPt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LA LINEA DE LA CONCEPCION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181</v>
      </c>
      <c r="E12" s="404">
        <f t="shared" si="0"/>
        <v>36.200000000000003</v>
      </c>
      <c r="F12" s="403">
        <f>IF(ISNUMBER(Datos!N12),Datos!N12," - ")</f>
        <v>180</v>
      </c>
      <c r="G12" s="404">
        <f t="shared" si="1"/>
        <v>36</v>
      </c>
      <c r="H12" s="403">
        <f>IF(ISNUMBER(Datos!O12),Datos!O12," - ")</f>
        <v>188</v>
      </c>
      <c r="I12" s="404">
        <f t="shared" si="2"/>
        <v>37.6</v>
      </c>
      <c r="BZ12" s="1186">
        <f>Datos!EZ12</f>
        <v>0</v>
      </c>
    </row>
    <row r="13" spans="1:78" ht="14.25" thickTop="1" thickBot="1">
      <c r="A13" s="848" t="str">
        <f>Datos!A13</f>
        <v>TOTAL</v>
      </c>
      <c r="B13" s="849">
        <f>Datos!AP13</f>
        <v>5</v>
      </c>
      <c r="C13" s="851">
        <f>Datos!AR13</f>
        <v>5</v>
      </c>
      <c r="D13" s="849">
        <f>SUBTOTAL(9,D9:D12)</f>
        <v>181</v>
      </c>
      <c r="E13" s="850">
        <f t="shared" si="0"/>
        <v>36.200000000000003</v>
      </c>
      <c r="F13" s="849">
        <f>SUBTOTAL(9,F9:F12)</f>
        <v>180</v>
      </c>
      <c r="G13" s="850">
        <f t="shared" si="1"/>
        <v>36</v>
      </c>
      <c r="H13" s="849">
        <f>SUBTOTAL(9,H9:H12)</f>
        <v>188</v>
      </c>
      <c r="I13" s="850">
        <f>IF(ISNUMBER(H13/B13),H13/B13," - ")</f>
        <v>37.6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128</v>
      </c>
      <c r="E16" s="404">
        <f t="shared" si="3"/>
        <v>25.6</v>
      </c>
      <c r="F16" s="403">
        <f>IF(ISNUMBER(Datos!N16),Datos!N16," - ")</f>
        <v>309</v>
      </c>
      <c r="G16" s="404">
        <f t="shared" si="4"/>
        <v>61.8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128</v>
      </c>
      <c r="E18" s="850">
        <f t="shared" si="3"/>
        <v>25.6</v>
      </c>
      <c r="F18" s="849">
        <f>SUBTOTAL(9,F15:F17)</f>
        <v>309</v>
      </c>
      <c r="G18" s="850">
        <f t="shared" si="4"/>
        <v>61.8</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309</v>
      </c>
      <c r="E19" s="795">
        <f>IF(ISNUMBER(D19/B19),D19/B19," - ")</f>
        <v>61.8</v>
      </c>
      <c r="F19" s="794">
        <f>SUBTOTAL(9,F8:F18)</f>
        <v>489</v>
      </c>
      <c r="G19" s="795">
        <f>IF(ISNUMBER(F19/B19),F19/B19," - ")</f>
        <v>97.8</v>
      </c>
      <c r="H19" s="794">
        <f>SUBTOTAL(9,H8:H18)</f>
        <v>188</v>
      </c>
      <c r="I19" s="795">
        <f>IF(ISNUMBER(H19/B19),H19/B19," - ")</f>
        <v>37.6</v>
      </c>
    </row>
    <row r="22" spans="1:78">
      <c r="A22" s="391" t="str">
        <f>Criterios!A4</f>
        <v>Fecha Informe: 29 nov. 2024</v>
      </c>
    </row>
    <row r="27" spans="1:78">
      <c r="A27" s="414"/>
    </row>
  </sheetData>
  <sheetProtection algorithmName="SHA-512" hashValue="HEB8wYBX3Wr5ndERL5dhJs8Khv+l780GLE75xRBe+0uo+RmoD1ZIApX22KROG5g+rf7BYmMZu55cVVyhdw11KQ==" saltValue="CyW1zRVUUyJe1l8gy2O4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LA LINEA DE LA CONCEPCION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109</v>
      </c>
      <c r="C12" s="434">
        <f>IF(ISNUMBER(Datos!Q12),Datos!Q12," - ")</f>
        <v>28</v>
      </c>
      <c r="D12" s="408">
        <f>IF(ISNUMBER(Datos!R12),Datos!R12," - ")</f>
        <v>3863</v>
      </c>
    </row>
    <row r="13" spans="1:4" ht="14.25" thickTop="1" thickBot="1">
      <c r="A13" s="848" t="str">
        <f>Datos!A13</f>
        <v>TOTAL</v>
      </c>
      <c r="B13" s="849">
        <f>SUBTOTAL(9,B9:B12)</f>
        <v>109</v>
      </c>
      <c r="C13" s="853">
        <f>SUBTOTAL(9,C9:C12)</f>
        <v>28</v>
      </c>
      <c r="D13" s="851">
        <f>SUBTOTAL(9,D9:D12)</f>
        <v>3863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47</v>
      </c>
      <c r="D16" s="408">
        <f>IF(ISNUMBER(Datos!R16),Datos!R16," - ")</f>
        <v>223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29</v>
      </c>
      <c r="C18" s="853">
        <f>SUBTOTAL(9,C15:C17)</f>
        <v>47</v>
      </c>
      <c r="D18" s="851">
        <f>SUBTOTAL(9,D15:D17)</f>
        <v>223</v>
      </c>
    </row>
    <row r="19" spans="1:4" ht="16.5" customHeight="1" thickTop="1" thickBot="1">
      <c r="A19" s="793" t="str">
        <f>Datos!A19</f>
        <v>TOTAL JURISDICCIONES</v>
      </c>
      <c r="B19" s="798">
        <f>SUBTOTAL(9,B8:B18)</f>
        <v>138</v>
      </c>
      <c r="C19" s="799">
        <f>SUBTOTAL(9,C8:C18)</f>
        <v>75</v>
      </c>
      <c r="D19" s="800">
        <f>SUBTOTAL(9,D8:D18)</f>
        <v>4086</v>
      </c>
    </row>
    <row r="20" spans="1:4" ht="7.5" customHeight="1"/>
    <row r="21" spans="1:4" ht="6" customHeight="1"/>
    <row r="22" spans="1:4">
      <c r="A22" s="391" t="str">
        <f>Criterios!A4</f>
        <v>Fecha Informe: 29 nov. 2024</v>
      </c>
    </row>
    <row r="27" spans="1:4">
      <c r="A27" s="414"/>
    </row>
  </sheetData>
  <sheetProtection algorithmName="SHA-512" hashValue="+gTJrNixggdesATKbNuGtetza9V43KwhTpgNxmFvbRKTZENF6Rcsl2cWHj7s5s2Uzwjft+EKkBV3mos3JrDwsg==" saltValue="J1kjNHGSDDoHkUy2EGU5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LA LINEA DE LA CONCEPCION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0.19258295380611581</v>
      </c>
      <c r="C12" s="456">
        <f>IF(ISNUMBER(
   IF(J_V="SI",(Datos!J12-Datos!T12)/Datos!T12,(Datos!J12+Datos!Z12-(Datos!T12+Datos!AH12))/(Datos!T12+Datos!AH12))
     ),IF(J_V="SI",(Datos!J12-Datos!T12)/Datos!T12,(Datos!J12+Datos!Z12-(Datos!T12+Datos!AH12))/(Datos!T12+Datos!AH12))," - ")</f>
        <v>0.19452887537993921</v>
      </c>
      <c r="D12" s="456">
        <f>IF(ISNUMBER(
   IF(J_V="SI",(Datos!K12-Datos!U12)/Datos!U12,(Datos!K12+Datos!AA12-(Datos!U12+Datos!AI12))/(Datos!U12+Datos!AI12))
     ),IF(J_V="SI",(Datos!K12-Datos!U12)/Datos!U12,(Datos!K12+Datos!AA12-(Datos!U12+Datos!AI12))/(Datos!U12+Datos!AI12))," - ")</f>
        <v>-9.5761381475667193E-2</v>
      </c>
      <c r="E12" s="456">
        <f>IF(ISNUMBER(
   IF(J_V="SI",(Datos!L12-Datos!V12)/Datos!V12,(Datos!L12+Datos!AB12-(Datos!V12+Datos!AJ12))/(Datos!V12+Datos!AJ12))
     ),IF(J_V="SI",(Datos!L12-Datos!V12)/Datos!V12,(Datos!L12+Datos!AB12-(Datos!V12+Datos!AJ12))/(Datos!V12+Datos!AJ12))," - ")</f>
        <v>0.28557213930348258</v>
      </c>
      <c r="F12" s="456">
        <f>IF(ISNUMBER((Datos!M12-Datos!W12)/Datos!W12),(Datos!M12-Datos!W12)/Datos!W12," - ")</f>
        <v>0.49586776859504134</v>
      </c>
      <c r="G12" s="457">
        <f>IF(ISNUMBER((Datos!N12-Datos!X12)/Datos!X12),(Datos!N12-Datos!X12)/Datos!X12," - ")</f>
        <v>-0.28000000000000003</v>
      </c>
      <c r="H12" s="455">
        <f>IF(ISNUMBER(((NºAsuntos!G12/NºAsuntos!E12)-Datos!BD12)/Datos!BD12),((NºAsuntos!G12/NºAsuntos!E12)-Datos!BD12)/Datos!BD12," - ")</f>
        <v>-0.24301652545927355</v>
      </c>
      <c r="I12" s="456">
        <f>IF(ISNUMBER(((NºAsuntos!I12/NºAsuntos!G12)-Datos!BE12)/Datos!BE12),((NºAsuntos!I12/NºAsuntos!G12)-Datos!BE12)/Datos!BE12," - ")</f>
        <v>0.4217177998894418</v>
      </c>
      <c r="J12" s="461">
        <f>IF(ISNUMBER((('Resol  Asuntos'!D12/NºAsuntos!G12)-Datos!BF12)/Datos!BF12),(('Resol  Asuntos'!D12/NºAsuntos!G12)-Datos!BF12)/Datos!BF12," - ")</f>
        <v>-0.19932638888888893</v>
      </c>
      <c r="K12" s="462">
        <f>IF(ISNUMBER((((NºAsuntos!C12+NºAsuntos!E12)/NºAsuntos!G12)-Datos!BG12)/Datos!BG12),(((NºAsuntos!C12+NºAsuntos!E12)/NºAsuntos!G12)-Datos!BG12)/Datos!BG12," - ")</f>
        <v>0.31926022686673822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0.19258295380611581</v>
      </c>
      <c r="C13" s="855">
        <f>IF(ISNUMBER(
   IF(J_V="SI",(Datos!J13-Datos!T13)/Datos!T13,(Datos!J13+Datos!Z13-(Datos!T13+Datos!AH13))/(Datos!T13+Datos!AH13))
     ),IF(J_V="SI",(Datos!J13-Datos!T13)/Datos!T13,(Datos!J13+Datos!Z13-(Datos!T13+Datos!AH13))/(Datos!T13+Datos!AH13))," - ")</f>
        <v>0.19452887537993921</v>
      </c>
      <c r="D13" s="855">
        <f>IF(ISNUMBER(
   IF(J_V="SI",(Datos!K13-Datos!U13)/Datos!U13,(Datos!K13+Datos!AA13-(Datos!U13+Datos!AI13))/(Datos!U13+Datos!AI13))
     ),IF(J_V="SI",(Datos!K13-Datos!U13)/Datos!U13,(Datos!K13+Datos!AA13-(Datos!U13+Datos!AI13))/(Datos!U13+Datos!AI13))," - ")</f>
        <v>-9.5761381475667193E-2</v>
      </c>
      <c r="E13" s="855">
        <f>IF(ISNUMBER(
   IF(J_V="SI",(Datos!L13-Datos!V13)/Datos!V13,(Datos!L13+Datos!AB13-(Datos!V13+Datos!AJ13))/(Datos!V13+Datos!AJ13))
     ),IF(J_V="SI",(Datos!L13-Datos!V13)/Datos!V13,(Datos!L13+Datos!AB13-(Datos!V13+Datos!AJ13))/(Datos!V13+Datos!AJ13))," - ")</f>
        <v>0.28557213930348258</v>
      </c>
      <c r="F13" s="856">
        <f>IF(ISNUMBER((Datos!M13-Datos!W13)/Datos!W13),(Datos!M13-Datos!W13)/Datos!W13," - ")</f>
        <v>0.49586776859504134</v>
      </c>
      <c r="G13" s="857">
        <f>IF(ISNUMBER((Datos!N13-Datos!X13)/Datos!X13),(Datos!N13-Datos!X13)/Datos!X13," - ")</f>
        <v>-0.28000000000000003</v>
      </c>
      <c r="H13" s="857">
        <f>IF(ISNUMBER(((NºAsuntos!G13/NºAsuntos!E13)-Datos!BD13)/Datos!BD13),((NºAsuntos!G13/NºAsuntos!E13)-Datos!BD13)/Datos!BD13," - ")</f>
        <v>-0.24301652545927355</v>
      </c>
      <c r="I13" s="857">
        <f>IF(ISNUMBER(((NºAsuntos!I13/NºAsuntos!G13)-Datos!BE13)/Datos!BE13),((NºAsuntos!I13/NºAsuntos!G13)-Datos!BE13)/Datos!BE13," - ")</f>
        <v>0.4217177998894418</v>
      </c>
      <c r="J13" s="857">
        <f>IF(ISNUMBER((('Resol  Asuntos'!D13/NºAsuntos!G13)-Datos!BF13)/Datos!BF13),(('Resol  Asuntos'!D13/NºAsuntos!G13)-Datos!BF13)/Datos!BF13," - ")</f>
        <v>-0.19932638888888893</v>
      </c>
      <c r="K13" s="857">
        <f>IF(ISNUMBER((((NºAsuntos!C13+NºAsuntos!E13)/NºAsuntos!G13)-Datos!BG13)/Datos!BG13),(((NºAsuntos!C13+NºAsuntos!E13)/NºAsuntos!G13)-Datos!BG13)/Datos!BG13," - ")</f>
        <v>0.31926022686673822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1.9143576826196475E-2</v>
      </c>
      <c r="C16" s="456">
        <f>IF(ISNUMBER(
   IF(D_I="SI",(Datos!J16-Datos!T16)/Datos!T16,(Datos!J16+Datos!AD16-(Datos!T16+Datos!AL16))/(Datos!T16+Datos!AL16))
     ),IF(D_I="SI",(Datos!J16-Datos!T16)/Datos!T16,(Datos!J16+Datos!AD16-(Datos!T16+Datos!AL16))/(Datos!T16+Datos!AL16))," - ")</f>
        <v>-0.35416666666666669</v>
      </c>
      <c r="D16" s="456">
        <f>IF(ISNUMBER(
   IF(D_I="SI",(Datos!K16-Datos!U16)/Datos!U16,(Datos!K16+Datos!AE16-(Datos!U16+Datos!AM16))/(Datos!U16+Datos!AM16))
     ),IF(D_I="SI",(Datos!K16-Datos!U16)/Datos!U16,(Datos!K16+Datos!AE16-(Datos!U16+Datos!AM16))/(Datos!U16+Datos!AM16))," - ")</f>
        <v>-0.36831683168316831</v>
      </c>
      <c r="E16" s="456">
        <f>IF(ISNUMBER(
   IF(D_I="SI",(Datos!L16-Datos!V16)/Datos!V16,(Datos!L16+Datos!AF16-(Datos!V16+Datos!AN16))/(Datos!V16+Datos!AN16))
     ),IF(D_I="SI",(Datos!L16-Datos!V16)/Datos!V16,(Datos!L16+Datos!AF16-(Datos!V16+Datos!AN16))/(Datos!V16+Datos!AN16))," - ")</f>
        <v>8.1691494473810668E-3</v>
      </c>
      <c r="F16" s="456">
        <f>IF(ISNUMBER((Datos!M16-Datos!W16)/Datos!W16),(Datos!M16-Datos!W16)/Datos!W16," - ")</f>
        <v>0</v>
      </c>
      <c r="G16" s="457">
        <f>IF(ISNUMBER((Datos!N16-Datos!X16)/Datos!X16),(Datos!N16-Datos!X16)/Datos!X16," - ")</f>
        <v>-0.48756218905472637</v>
      </c>
      <c r="H16" s="455">
        <f>IF(ISNUMBER(((NºAsuntos!G16/NºAsuntos!E16)-Datos!BD16)/Datos!BD16),((NºAsuntos!G16/NºAsuntos!E16)-Datos!BD16)/Datos!BD16," - ")</f>
        <v>-2.1909932928776667E-2</v>
      </c>
      <c r="I16" s="456">
        <f>IF(ISNUMBER(((NºAsuntos!I16/NºAsuntos!G16)-Datos!BE16)/Datos!BE16),((NºAsuntos!I16/NºAsuntos!G16)-Datos!BE16)/Datos!BE16," - ")</f>
        <v>0.59600445288691994</v>
      </c>
      <c r="J16" s="461">
        <f>IF(ISNUMBER((('Resol  Asuntos'!D16/NºAsuntos!G16)-Datos!BF16)/Datos!BF16),(('Resol  Asuntos'!D16/NºAsuntos!G16)-Datos!BF16)/Datos!BF16," - ")</f>
        <v>0.58307210031347956</v>
      </c>
      <c r="K16" s="462">
        <f>IF(ISNUMBER((((NºAsuntos!C16+NºAsuntos!E16)/NºAsuntos!G16)-Datos!BG16)/Datos!BG16),(((NºAsuntos!C16+NºAsuntos!E16)/NºAsuntos!G16)-Datos!BG16)/Datos!BG16," - ")</f>
        <v>0.4021642170468373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-0.26881720430107525</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-0.78048780487804881</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6.2560153994225213E-3</v>
      </c>
      <c r="C18" s="855">
        <f>IF(ISNUMBER(
   IF(Criterios!B14="SI",(Datos!J18-Datos!T18)/Datos!T18,(Datos!J18+Datos!AD18-(Datos!T18+Datos!AL18))/(Datos!T18+Datos!AL18))
     ),IF(Criterios!B14="SI",(Datos!J18-Datos!T18)/Datos!T18,(Datos!J18+Datos!AD18-(Datos!T18+Datos!AL18))/(Datos!T18+Datos!AL18))," - ")</f>
        <v>-0.35823582358235823</v>
      </c>
      <c r="D18" s="855">
        <f>IF(ISNUMBER(
   IF(Criterios!B14="SI",(Datos!K18-Datos!U18)/Datos!U18,(Datos!K18+Datos!AE18-(Datos!U18+Datos!AM18))/(Datos!U18+Datos!AM18))
     ),IF(Criterios!B14="SI",(Datos!K18-Datos!U18)/Datos!U18,(Datos!K18+Datos!AE18-(Datos!U18+Datos!AM18))/(Datos!U18+Datos!AM18))," - ")</f>
        <v>-0.38297872340425532</v>
      </c>
      <c r="E18" s="855">
        <f>IF(ISNUMBER(
   IF(Criterios!B14="SI",(Datos!L18-Datos!V18)/Datos!V18,(Datos!L18+Datos!AF18-(Datos!V18+Datos!AN18))/(Datos!V18+Datos!AN18))
     ),IF(Criterios!B14="SI",(Datos!L18-Datos!V18)/Datos!V18,(Datos!L18+Datos!AF18-(Datos!V18+Datos!AN18))/(Datos!V18+Datos!AN18))," - ")</f>
        <v>-2.1729079981507166E-2</v>
      </c>
      <c r="F18" s="856">
        <f>IF(ISNUMBER((Datos!M18-Datos!W18)/Datos!W18),(Datos!M18-Datos!W18)/Datos!W18," - ")</f>
        <v>0</v>
      </c>
      <c r="G18" s="857">
        <f>IF(ISNUMBER((Datos!N18-Datos!X18)/Datos!X18),(Datos!N18-Datos!X18)/Datos!X18," - ")</f>
        <v>-0.49918962722852511</v>
      </c>
      <c r="H18" s="857">
        <f>IF(ISNUMBER(((NºAsuntos!G18/NºAsuntos!E18)-Datos!BD18)/Datos!BD18),((NºAsuntos!G18/NºAsuntos!E18)-Datos!BD18)/Datos!BD18," - ")</f>
        <v>-3.8554504491062652E-2</v>
      </c>
      <c r="I18" s="857">
        <f>IF(ISNUMBER(((NºAsuntos!I18/NºAsuntos!G18)-Datos!BE18)/Datos!BE18),((NºAsuntos!I18/NºAsuntos!G18)-Datos!BE18)/Datos!BE18," - ")</f>
        <v>0.5854735600299712</v>
      </c>
      <c r="J18" s="857">
        <f>IF(ISNUMBER((('Resol  Asuntos'!D18/NºAsuntos!G18)-Datos!BF18)/Datos!BF18),(('Resol  Asuntos'!D18/NºAsuntos!G18)-Datos!BF18)/Datos!BF18," - ")</f>
        <v>0.6206896551724137</v>
      </c>
      <c r="K18" s="857">
        <f>IF(ISNUMBER((((NºAsuntos!C18+NºAsuntos!E18)/NºAsuntos!G18)-Datos!BG18)/Datos!BG18),(((NºAsuntos!C18+NºAsuntos!E18)/NºAsuntos!G18)-Datos!BG18)/Datos!BG18," - ")</f>
        <v>0.42502784355705486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0.11743012422360248</v>
      </c>
      <c r="C19" s="802">
        <f>IF(ISNUMBER(
   IF(J_V="SI",(Datos!J19-Datos!T19)/Datos!T19,(Datos!J19+Datos!Z19-(Datos!T19+Datos!AH19))/(Datos!T19+Datos!AH19))
     ),IF(J_V="SI",(Datos!J19-Datos!T19)/Datos!T19,(Datos!J19+Datos!Z19-(Datos!T19+Datos!AH19))/(Datos!T19+Datos!AH19))," - ")</f>
        <v>-0.15262860373092144</v>
      </c>
      <c r="D19" s="802">
        <f>IF(ISNUMBER(
   IF(J_V="SI",(Datos!K19-Datos!U19)/Datos!U19,(Datos!K19+Datos!AA19-(Datos!U19+Datos!AI19))/(Datos!U19+Datos!AI19))
     ),IF(J_V="SI",(Datos!K19-Datos!U19)/Datos!U19,(Datos!K19+Datos!AA19-(Datos!U19+Datos!AI19))/(Datos!U19+Datos!AI19))," - ")</f>
        <v>-0.27348892878515857</v>
      </c>
      <c r="E19" s="802">
        <f>IF(ISNUMBER(
   IF(J_V="SI",(Datos!L19-Datos!V19)/Datos!V19,(Datos!L19+Datos!AB19-(Datos!V19+Datos!AJ19))/(Datos!V19+Datos!AJ19))
     ),IF(J_V="SI",(Datos!L19-Datos!V19)/Datos!V19,(Datos!L19+Datos!AB19-(Datos!V19+Datos!AJ19))/(Datos!V19+Datos!AJ19))," - ")</f>
        <v>0.15720355349555812</v>
      </c>
      <c r="F19" s="803">
        <f>IF(ISNUMBER((Datos!M19-Datos!W19)/Datos!W19),(Datos!M19-Datos!W19)/Datos!W19," - ")</f>
        <v>0.24096385542168675</v>
      </c>
      <c r="G19" s="804">
        <f>IF(ISNUMBER((Datos!N19-Datos!X19)/Datos!X19),(Datos!N19-Datos!X19)/Datos!X19," - ")</f>
        <v>-0.43598615916955019</v>
      </c>
      <c r="H19" s="805">
        <f>IF(ISNUMBER((Tasas!B19-Datos!BD19)/Datos!BD19),(Tasas!B19-Datos!BD19)/Datos!BD19," - ")</f>
        <v>-0.14262969647828252</v>
      </c>
      <c r="I19" s="806">
        <f>IF(ISNUMBER((Tasas!C19-Datos!BE19)/Datos!BE19),(Tasas!C19-Datos!BE19)/Datos!BE19," - ")</f>
        <v>0.59282301308984986</v>
      </c>
      <c r="J19" s="807">
        <f>IF(ISNUMBER((Tasas!D19-Datos!BF19)/Datos!BF19),(Tasas!D19-Datos!BF19)/Datos!BF19," - ")</f>
        <v>0.1251863183494154</v>
      </c>
      <c r="K19" s="807">
        <f>IF(ISNUMBER((Tasas!E19-Datos!BG19)/Datos!BG19),(Tasas!E19-Datos!BG19)/Datos!BG19," - ")</f>
        <v>0.44306597855248947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oCgqEMJF2viAbHL3W8snvMZXpWFQPLZ9m5av3fguuK7JmiJhE17UZiNTBVsQqUbN+9Uc/75Qbl8T41gZ3vsig==" saltValue="fPlet3MWF9FfkegBBzPr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LA LINEA DE LA CONCEPCION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0.73282442748091603</v>
      </c>
      <c r="C12" s="443">
        <f>IF(ISNUMBER(NºAsuntos!I12/NºAsuntos!G12),NºAsuntos!I12/NºAsuntos!G12," - ")</f>
        <v>6.729166666666667</v>
      </c>
      <c r="D12" s="444">
        <f>IF(ISNUMBER('Resol  Asuntos'!D12/NºAsuntos!G12),'Resol  Asuntos'!D12/NºAsuntos!G12," - ")</f>
        <v>0.3142361111111111</v>
      </c>
      <c r="E12" s="445">
        <f>IF(ISNUMBER((NºAsuntos!C12+NºAsuntos!E12)/NºAsuntos!G12),(NºAsuntos!C12+NºAsuntos!E12)/NºAsuntos!G12," - ")</f>
        <v>7.729166666666667</v>
      </c>
      <c r="G12" s="463"/>
    </row>
    <row r="13" spans="1:7" ht="14.25" thickTop="1" thickBot="1">
      <c r="A13" s="848" t="str">
        <f>Datos!A13</f>
        <v>TOTAL</v>
      </c>
      <c r="B13" s="858">
        <f>IF(ISNUMBER(NºAsuntos!G13/NºAsuntos!E13),NºAsuntos!G13/NºAsuntos!E13," - ")</f>
        <v>0.73282442748091603</v>
      </c>
      <c r="C13" s="859">
        <f>IF(ISNUMBER(NºAsuntos!I13/NºAsuntos!G13),NºAsuntos!I13/NºAsuntos!G13," - ")</f>
        <v>6.729166666666667</v>
      </c>
      <c r="D13" s="860">
        <f>IF(ISNUMBER('Resol  Asuntos'!D13/NºAsuntos!G13),'Resol  Asuntos'!D13/NºAsuntos!G13," - ")</f>
        <v>0.3142361111111111</v>
      </c>
      <c r="E13" s="861">
        <f>IF(ISNUMBER((NºAsuntos!C13+NºAsuntos!E13)/NºAsuntos!G13),(NºAsuntos!C13+NºAsuntos!E13)/NºAsuntos!G13," - ")</f>
        <v>7.729166666666667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0.8948106591865358</v>
      </c>
      <c r="C16" s="443">
        <f>IF(ISNUMBER(NºAsuntos!I16/NºAsuntos!G16),NºAsuntos!I16/NºAsuntos!G16," - ")</f>
        <v>3.2884012539184955</v>
      </c>
      <c r="D16" s="444">
        <f>IF(ISNUMBER('Resol  Asuntos'!D16/NºAsuntos!G16),'Resol  Asuntos'!D16/NºAsuntos!G16," - ")</f>
        <v>0.20062695924764889</v>
      </c>
      <c r="E16" s="445">
        <f>IF(ISNUMBER((NºAsuntos!C16+NºAsuntos!E16)/NºAsuntos!G16),(NºAsuntos!C16+NºAsuntos!E16)/NºAsuntos!G16," - ")</f>
        <v>4.2884012539184955</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0.8948106591865358</v>
      </c>
      <c r="C18" s="859">
        <f>IF(ISNUMBER(NºAsuntos!I18/NºAsuntos!G18),NºAsuntos!I18/NºAsuntos!G18," - ")</f>
        <v>3.3166144200626961</v>
      </c>
      <c r="D18" s="862">
        <f>IF(ISNUMBER('Resol  Asuntos'!D18/NºAsuntos!G18),'Resol  Asuntos'!D18/NºAsuntos!G18," - ")</f>
        <v>0.20062695924764889</v>
      </c>
      <c r="E18" s="861">
        <f>IF(ISNUMBER((NºAsuntos!C18+NºAsuntos!E18)/NºAsuntos!G18),(NºAsuntos!C18+NºAsuntos!E18)/NºAsuntos!G18," - ")</f>
        <v>4.3949843260188084</v>
      </c>
      <c r="G18" s="463"/>
    </row>
    <row r="19" spans="1:7" ht="15.75" customHeight="1" thickTop="1" thickBot="1">
      <c r="A19" s="793" t="str">
        <f>Datos!A19</f>
        <v>TOTAL JURISDICCIONES</v>
      </c>
      <c r="B19" s="808">
        <f>IF(ISNUMBER(NºAsuntos!G19/NºAsuntos!E19),NºAsuntos!G19/NºAsuntos!E19," - ")</f>
        <v>0.80987324883255507</v>
      </c>
      <c r="C19" s="809">
        <f>IF(ISNUMBER(NºAsuntos!I19/NºAsuntos!G19),NºAsuntos!I19/NºAsuntos!G19," - ")</f>
        <v>4.9357495881383855</v>
      </c>
      <c r="D19" s="810">
        <f>IF(ISNUMBER('Resol  Asuntos'!D19/NºAsuntos!G19),'Resol  Asuntos'!D19/NºAsuntos!G19," - ")</f>
        <v>0.2545304777594728</v>
      </c>
      <c r="E19" s="811">
        <f>IF(ISNUMBER((NºAsuntos!C19+NºAsuntos!E19)/NºAsuntos!G19),(NºAsuntos!C19+NºAsuntos!E19)/NºAsuntos!G19," - ")</f>
        <v>5.9769357495881383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gh2Zt66RailVkDaKfRncaUTpz+0YY5cuwyfqWa7iPy+rOFD5ETyBSf3/TVbSt5i8sJpyOt5zSNfOxO51e2M9g==" saltValue="J/0y8DTm2cm1HBLfRXBP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LA LINEA DE LA CONCEPCION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v>
      </c>
      <c r="Y12" s="334">
        <f t="shared" si="0"/>
        <v>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3863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181</v>
      </c>
      <c r="AJ12" s="229" t="str">
        <f>IF(ISNUMBER(Datos!BW12),Datos!BW12," - ")</f>
        <v xml:space="preserve"> - </v>
      </c>
      <c r="AK12" s="228" t="str">
        <f>IF(ISNUMBER(Datos!BX12),Datos!BX12," - ")</f>
        <v xml:space="preserve"> - </v>
      </c>
      <c r="AL12" s="243">
        <f>IF(ISNUMBER(NºAsuntos!G12/NºAsuntos!E12),NºAsuntos!G12/NºAsuntos!E12," - ")</f>
        <v>0.73282442748091603</v>
      </c>
      <c r="AM12" s="260">
        <f>IF(ISNUMBER(((NºAsuntos!I12/NºAsuntos!G12)*11)/factor_trimestre),((NºAsuntos!I12/NºAsuntos!G12)*11)/factor_trimestre," - ")</f>
        <v>13.458333333333336</v>
      </c>
      <c r="AN12" s="244">
        <f>IF(ISNUMBER('Resol  Asuntos'!D12/NºAsuntos!G12),'Resol  Asuntos'!D12/NºAsuntos!G12," - ")</f>
        <v>0.3142361111111111</v>
      </c>
      <c r="AO12" s="245">
        <f>IF(ISNUMBER((NºAsuntos!C12+NºAsuntos!E12)/NºAsuntos!G12),(NºAsuntos!C12+NºAsuntos!E12)/NºAsuntos!G12," - ")</f>
        <v>7.729166666666667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0</v>
      </c>
      <c r="G13" s="866">
        <f t="shared" si="3"/>
        <v>0</v>
      </c>
      <c r="H13" s="865">
        <f t="shared" si="3"/>
        <v>0</v>
      </c>
      <c r="I13" s="867">
        <f t="shared" si="3"/>
        <v>0</v>
      </c>
      <c r="J13" s="867">
        <f t="shared" si="3"/>
        <v>0</v>
      </c>
      <c r="K13" s="867">
        <f t="shared" si="3"/>
        <v>0</v>
      </c>
      <c r="L13" s="867">
        <f t="shared" si="3"/>
        <v>109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28</v>
      </c>
      <c r="Y13" s="868">
        <f t="shared" si="4"/>
        <v>28</v>
      </c>
      <c r="Z13" s="868">
        <f t="shared" si="4"/>
        <v>0</v>
      </c>
      <c r="AA13" s="868">
        <f t="shared" si="4"/>
        <v>0</v>
      </c>
      <c r="AB13" s="868">
        <f t="shared" si="4"/>
        <v>3863</v>
      </c>
      <c r="AC13" s="868">
        <f t="shared" si="4"/>
        <v>0</v>
      </c>
      <c r="AD13" s="868">
        <f t="shared" si="4"/>
        <v>0</v>
      </c>
      <c r="AE13" s="872">
        <f t="shared" si="4"/>
        <v>0</v>
      </c>
      <c r="AF13" s="865">
        <f t="shared" si="4"/>
        <v>0</v>
      </c>
      <c r="AG13" s="873">
        <f t="shared" si="4"/>
        <v>0</v>
      </c>
      <c r="AH13" s="870">
        <f t="shared" si="4"/>
        <v>0</v>
      </c>
      <c r="AI13" s="865">
        <f t="shared" si="4"/>
        <v>181</v>
      </c>
      <c r="AJ13" s="867">
        <f t="shared" si="4"/>
        <v>0</v>
      </c>
      <c r="AK13" s="870">
        <f>SUBTOTAL(9,AK9:AK12)</f>
        <v>0</v>
      </c>
      <c r="AL13" s="874">
        <f>IF(ISNUMBER(NºAsuntos!G13/NºAsuntos!E13),NºAsuntos!G13/NºAsuntos!E13," - ")</f>
        <v>0.73282442748091603</v>
      </c>
      <c r="AM13" s="874">
        <f>IF(ISNUMBER(((NºAsuntos!I13/NºAsuntos!G13)*11)/factor_trimestre),((NºAsuntos!I13/NºAsuntos!G13)*11)/factor_trimestre," - ")</f>
        <v>13.458333333333336</v>
      </c>
      <c r="AN13" s="875">
        <f>IF(ISNUMBER('Resol  Asuntos'!D13/NºAsuntos!G13),'Resol  Asuntos'!D13/NºAsuntos!G13," - ")</f>
        <v>0.3142361111111111</v>
      </c>
      <c r="AO13" s="876">
        <f>IF(ISNUMBER((NºAsuntos!C13+NºAsuntos!E13)/NºAsuntos!G13),(NºAsuntos!C13+NºAsuntos!E13)/NºAsuntos!G13," - ")</f>
        <v>7.729166666666667</v>
      </c>
      <c r="AP13" s="877" t="str">
        <f t="shared" si="2"/>
        <v xml:space="preserve"> - </v>
      </c>
      <c r="AQ13" s="877" t="str">
        <f>IF(ISNUMBER((H13-W13+K13)/(F13)),(H13-W13+K13)/(F13)," - ")</f>
        <v xml:space="preserve"> - </v>
      </c>
      <c r="AR13" s="878">
        <f>IF(ISNUMBER((Datos!P13-Datos!Q13)/(Datos!R13-Datos!P13+Datos!Q13)),(Datos!P13-Datos!Q13)/(Datos!R13-Datos!P13+Datos!Q13)," - ")</f>
        <v>2.1417239555790588E-2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2023</v>
      </c>
      <c r="G16" s="333">
        <f>IF(ISNUMBER(IF(D_I="SI",Datos!I16,Datos!I16+Datos!AC16)),IF(D_I="SI",Datos!I16,Datos!I16+Datos!AC16)," - ")</f>
        <v>2023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638</v>
      </c>
      <c r="X16" s="226">
        <f>IF(ISNUMBER(Datos!Q16),Datos!Q16," - ")</f>
        <v>47</v>
      </c>
      <c r="Y16" s="334">
        <f t="shared" ref="Y16:Y17" si="7">SUM(W16:X16)</f>
        <v>685</v>
      </c>
      <c r="Z16" s="335" t="str">
        <f>IF(ISNUMBER(Datos!CC16),Datos!CC16," - ")</f>
        <v xml:space="preserve"> - </v>
      </c>
      <c r="AA16" s="332">
        <f>IF(ISNUMBER(IF(D_I="SI",Datos!L16,Datos!L16+Datos!AF16)),IF(D_I="SI",Datos!L16,Datos!L16+Datos!AF16)," - ")</f>
        <v>2098</v>
      </c>
      <c r="AB16" s="334">
        <f>IF(ISNUMBER(Datos!R16),Datos!R16," - ")</f>
        <v>223</v>
      </c>
      <c r="AC16" s="334">
        <f t="shared" si="6"/>
        <v>2321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128</v>
      </c>
      <c r="AJ16" s="231" t="str">
        <f>IF(ISNUMBER(Datos!BW16),Datos!BW16," - ")</f>
        <v xml:space="preserve"> - </v>
      </c>
      <c r="AK16" s="232" t="str">
        <f>IF(ISNUMBER(Datos!BX16),Datos!BX16," - ")</f>
        <v xml:space="preserve"> - </v>
      </c>
      <c r="AL16" s="243">
        <f>IF(ISNUMBER(NºAsuntos!G16/NºAsuntos!E16),NºAsuntos!G16/NºAsuntos!E16," - ")</f>
        <v>0.8948106591865358</v>
      </c>
      <c r="AM16" s="260">
        <f>IF(ISNUMBER(((NºAsuntos!I16/NºAsuntos!G16)*11)/factor_trimestre),((NºAsuntos!I16/NºAsuntos!G16)*11)/factor_trimestre," - ")</f>
        <v>6.5768025078369909</v>
      </c>
      <c r="AN16" s="244">
        <f>IF(ISNUMBER('Resol  Asuntos'!D16/NºAsuntos!G16),'Resol  Asuntos'!D16/NºAsuntos!G16," - ")</f>
        <v>0.20062695924764889</v>
      </c>
      <c r="AO16" s="245">
        <f>IF(ISNUMBER((NºAsuntos!C16+NºAsuntos!E16)/NºAsuntos!G16),(NºAsuntos!C16+NºAsuntos!E16)/NºAsuntos!G16," - ")</f>
        <v>4.2884012539184955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18</v>
      </c>
      <c r="AB17" s="334">
        <f>IF(ISNUMBER(Datos!R17),Datos!R17," - ")</f>
        <v>0</v>
      </c>
      <c r="AC17" s="334">
        <f t="shared" si="6"/>
        <v>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2023</v>
      </c>
      <c r="G18" s="866">
        <f>SUBTOTAL(9,G15:G17)</f>
        <v>2091</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638</v>
      </c>
      <c r="X18" s="867">
        <f t="shared" si="11"/>
        <v>47</v>
      </c>
      <c r="Y18" s="868">
        <f t="shared" si="11"/>
        <v>685</v>
      </c>
      <c r="Z18" s="868">
        <f t="shared" si="11"/>
        <v>0</v>
      </c>
      <c r="AA18" s="868">
        <f t="shared" si="11"/>
        <v>2116</v>
      </c>
      <c r="AB18" s="868">
        <f t="shared" si="11"/>
        <v>223</v>
      </c>
      <c r="AC18" s="868">
        <f t="shared" si="11"/>
        <v>2339</v>
      </c>
      <c r="AD18" s="868">
        <f t="shared" si="11"/>
        <v>0</v>
      </c>
      <c r="AE18" s="872">
        <f t="shared" si="11"/>
        <v>0</v>
      </c>
      <c r="AF18" s="865">
        <f t="shared" si="11"/>
        <v>0</v>
      </c>
      <c r="AG18" s="873">
        <f t="shared" si="11"/>
        <v>0</v>
      </c>
      <c r="AH18" s="870">
        <f t="shared" si="11"/>
        <v>0</v>
      </c>
      <c r="AI18" s="865">
        <f t="shared" si="11"/>
        <v>128</v>
      </c>
      <c r="AJ18" s="867">
        <f t="shared" si="11"/>
        <v>0</v>
      </c>
      <c r="AK18" s="870">
        <f t="shared" si="11"/>
        <v>0</v>
      </c>
      <c r="AL18" s="874">
        <f>IF(ISNUMBER(NºAsuntos!G18/NºAsuntos!E18),NºAsuntos!G18/NºAsuntos!E18," - ")</f>
        <v>0.8948106591865358</v>
      </c>
      <c r="AM18" s="874">
        <f>IF(ISNUMBER(((NºAsuntos!I18/NºAsuntos!G18)*11)/factor_trimestre),((NºAsuntos!I18/NºAsuntos!G18)*11)/factor_trimestre," - ")</f>
        <v>6.6332288401253923</v>
      </c>
      <c r="AN18" s="875">
        <f>IF(ISNUMBER('Resol  Asuntos'!D18/NºAsuntos!G18),'Resol  Asuntos'!D18/NºAsuntos!G18," - ")</f>
        <v>0.20062695924764889</v>
      </c>
      <c r="AO18" s="876">
        <f>IF(ISNUMBER((NºAsuntos!C18+NºAsuntos!E18)/NºAsuntos!G18),(NºAsuntos!C18+NºAsuntos!E18)/NºAsuntos!G18," - ")</f>
        <v>4.3949843260188084</v>
      </c>
      <c r="AP18" s="877" t="str">
        <f t="shared" si="2"/>
        <v xml:space="preserve"> - </v>
      </c>
      <c r="AQ18" s="877">
        <f>IF(ISNUMBER((H18-W18+K18)/(F18)),(H18-W18+K18)/(F18)," - ")</f>
        <v>-0.31537320810677211</v>
      </c>
      <c r="AR18" s="878">
        <f>IF(ISNUMBER((Datos!P18-Datos!Q18)/(Datos!R18-Datos!P18+Datos!Q18)),(Datos!P18-Datos!Q18)/(Datos!R18-Datos!P18+Datos!Q18)," - ")</f>
        <v>-7.4688796680497924E-2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2023</v>
      </c>
      <c r="G19" s="821">
        <f t="shared" si="13"/>
        <v>2091</v>
      </c>
      <c r="H19" s="820">
        <f t="shared" si="13"/>
        <v>0</v>
      </c>
      <c r="I19" s="822">
        <f t="shared" si="13"/>
        <v>0</v>
      </c>
      <c r="J19" s="822">
        <f t="shared" si="13"/>
        <v>0</v>
      </c>
      <c r="K19" s="881">
        <f t="shared" si="13"/>
        <v>0</v>
      </c>
      <c r="L19" s="822">
        <f t="shared" si="13"/>
        <v>138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638</v>
      </c>
      <c r="X19" s="821">
        <f t="shared" si="14"/>
        <v>75</v>
      </c>
      <c r="Y19" s="828">
        <f t="shared" si="14"/>
        <v>713</v>
      </c>
      <c r="Z19" s="828">
        <f t="shared" si="14"/>
        <v>0</v>
      </c>
      <c r="AA19" s="828">
        <f t="shared" si="14"/>
        <v>2116</v>
      </c>
      <c r="AB19" s="828">
        <f t="shared" si="14"/>
        <v>4086</v>
      </c>
      <c r="AC19" s="828">
        <f t="shared" si="14"/>
        <v>2339</v>
      </c>
      <c r="AD19" s="828">
        <f t="shared" si="14"/>
        <v>0</v>
      </c>
      <c r="AE19" s="830">
        <f t="shared" si="14"/>
        <v>0</v>
      </c>
      <c r="AF19" s="831">
        <f t="shared" si="14"/>
        <v>0</v>
      </c>
      <c r="AG19" s="832">
        <f t="shared" si="14"/>
        <v>0</v>
      </c>
      <c r="AH19" s="830">
        <f t="shared" si="14"/>
        <v>0</v>
      </c>
      <c r="AI19" s="820">
        <f t="shared" si="14"/>
        <v>309</v>
      </c>
      <c r="AJ19" s="820">
        <f t="shared" si="14"/>
        <v>0</v>
      </c>
      <c r="AK19" s="830">
        <f t="shared" si="14"/>
        <v>0</v>
      </c>
      <c r="AL19" s="884">
        <f>IF(ISNUMBER(NºAsuntos!G19/NºAsuntos!E19),NºAsuntos!G19/NºAsuntos!E19," - ")</f>
        <v>0.80987324883255507</v>
      </c>
      <c r="AM19" s="885">
        <f>IF(ISNUMBER(((NºAsuntos!I19/NºAsuntos!G19)*11)/factor_trimestre),((NºAsuntos!I19/NºAsuntos!G19)*11)/factor_trimestre," - ")</f>
        <v>9.871499176276771</v>
      </c>
      <c r="AN19" s="885">
        <f>IF(ISNUMBER('Resol  Asuntos'!D19/NºAsuntos!G19),'Resol  Asuntos'!D19/NºAsuntos!G19," - ")</f>
        <v>0.2545304777594728</v>
      </c>
      <c r="AO19" s="886">
        <f>IF(ISNUMBER((NºAsuntos!C19+NºAsuntos!E19)/NºAsuntos!G19),(NºAsuntos!C19+NºAsuntos!E19)/NºAsuntos!G19," - ")</f>
        <v>5.9769357495881383</v>
      </c>
      <c r="AP19" s="887" t="str">
        <f t="shared" si="2"/>
        <v xml:space="preserve"> - </v>
      </c>
      <c r="AQ19" s="888">
        <f>IF(OR(ISNUMBER(FIND("01",Criterios!A8,1)),ISNUMBER(FIND("02",Criterios!A8,1)),ISNUMBER(FIND("03",Criterios!A8,1)),ISNUMBER(FIND("04",Criterios!A8,1))),(I19-W19+K19)/(F19-K19),(H19-W19+K19)/(F19-K19))</f>
        <v>-0.31537320810677211</v>
      </c>
      <c r="AR19" s="889">
        <f>IF(ISNUMBER((Datos!P19-Datos!Q19)/(Datos!R19-Datos!P19+Datos!Q19)),(Datos!P19-Datos!Q19)/(Datos!R19-Datos!P19+Datos!Q19)," - ")</f>
        <v>1.5659955257270694E-2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1167.9795945706128</v>
      </c>
      <c r="G21" s="253">
        <f>IF(ISNUMBER(STDEV(G8:G18)),STDEV(G8:G18),"-")</f>
        <v>1114.855282088218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349.44699168829595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83.229802354685432</v>
      </c>
      <c r="AJ21" s="252">
        <f t="shared" si="18"/>
        <v>0</v>
      </c>
      <c r="AK21" s="254">
        <f t="shared" si="18"/>
        <v>0</v>
      </c>
      <c r="AL21" s="249">
        <f t="shared" si="18"/>
        <v>9.3522794480252663E-2</v>
      </c>
      <c r="AM21" s="250">
        <f t="shared" si="18"/>
        <v>3.9568318515986065</v>
      </c>
      <c r="AN21" s="250">
        <f t="shared" si="18"/>
        <v>6.5592274410774851E-2</v>
      </c>
      <c r="AO21" s="251">
        <f t="shared" si="18"/>
        <v>1.9562429331877162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prLhzVmyt4+l4sVuB6vePSZ3GxQ56oHTghhWTxLI/umPhL2Wff94S2LO5aQryfEcSnuLfgi3MVR4T8z+ZIeOuA==" saltValue="pgOBlqQCxPxX6ClYA8fB/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LA LINEA DE LA CONCEPCION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0.49586776859504134</v>
      </c>
      <c r="I12" s="350">
        <f>IF(ISNUMBER((Tasas!C12-Datos!BE12)/Datos!BE12),(Tasas!C12-Datos!BE12)/Datos!BE12," - ")</f>
        <v>0.4217177998894418</v>
      </c>
      <c r="J12" s="349">
        <f>IF(ISNUMBER((Tasas!D12-Datos!BF12)/Datos!BF12),(Tasas!D12-Datos!BF12)/Datos!BF12," - ")</f>
        <v>-0.19932638888888893</v>
      </c>
      <c r="K12" s="351">
        <f>IF(ISNUMBER((Tasas!E12-Datos!BG12)/Datos!BG12),(Tasas!E12-Datos!BG12)/Datos!BG12," - ")</f>
        <v>0.31926022686673822</v>
      </c>
      <c r="M12" t="e">
        <f>IF(Monitorios="SI",Datos!CE12,0)</f>
        <v>#REF!</v>
      </c>
      <c r="N12" t="e">
        <f>IF(Monitorios="SI",Datos!CF12,0)</f>
        <v>#REF!</v>
      </c>
      <c r="O12" t="e">
        <f>IF(Monitorios="SI",Datos!CG12,0)</f>
        <v>#REF!</v>
      </c>
      <c r="P12" t="e">
        <f>IF(Monitorios="SI",Datos!CH12,0)</f>
        <v>#REF!</v>
      </c>
      <c r="Q12">
        <f>IF(J_V="SI",0,Datos!AG12)</f>
        <v>50</v>
      </c>
      <c r="R12">
        <f>IF(J_V="SI",0,Datos!AH12)</f>
        <v>51</v>
      </c>
      <c r="S12">
        <f>IF(J_V="SI",0,Datos!AI12)</f>
        <v>55</v>
      </c>
      <c r="T12">
        <f>IF(J_V="SI",0,Datos!AJ12)</f>
        <v>46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0.49586776859504134</v>
      </c>
      <c r="I13" s="357">
        <f>IF(ISNUMBER((Tasas!C13-Datos!BE13)/Datos!BE13),(Tasas!C13-Datos!BE13)/Datos!BE13," - ")</f>
        <v>0.4217177998894418</v>
      </c>
      <c r="J13" s="355">
        <f>IF(ISNUMBER((Tasas!D13-Datos!BF13)/Datos!BF13),(Tasas!D13-Datos!BF13)/Datos!BF13," - ")</f>
        <v>-0.19932638888888893</v>
      </c>
      <c r="K13" s="358">
        <f>IF(ISNUMBER((Tasas!E13-Datos!BG13)/Datos!BG13),(Tasas!E13-Datos!BG13)/Datos!BG13," - ")</f>
        <v>0.31926022686673822</v>
      </c>
      <c r="M13" t="e">
        <f>IF(Monitorios="SI",Datos!CE13,0)</f>
        <v>#REF!</v>
      </c>
      <c r="N13" t="e">
        <f>IF(Monitorios="SI",Datos!CF13,0)</f>
        <v>#REF!</v>
      </c>
      <c r="O13" t="e">
        <f>IF(Monitorios="SI",Datos!CG13,0)</f>
        <v>#REF!</v>
      </c>
      <c r="P13" t="e">
        <f>IF(Monitorios="SI",Datos!CH13,0)</f>
        <v>#REF!</v>
      </c>
      <c r="Q13">
        <f>IF(J_V="SI",0,Datos!AG13)</f>
        <v>50</v>
      </c>
      <c r="R13">
        <f>IF(J_V="SI",0,Datos!AH13)</f>
        <v>51</v>
      </c>
      <c r="S13">
        <f>IF(J_V="SI",0,Datos!AI13)</f>
        <v>55</v>
      </c>
      <c r="T13">
        <f>IF(J_V="SI",0,Datos!AJ13)</f>
        <v>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1.9143576826196475E-2</v>
      </c>
      <c r="E16" s="348">
        <f>IF(ISNUMBER(
   IF(D_I="SI",(Datos!J16-Datos!T16)/Datos!T16,(Datos!J16+Datos!AD16-(Datos!T16+Datos!AL16))/(Datos!T16+Datos!AL16))
     ),IF(D_I="SI",(Datos!J16-Datos!T16)/Datos!T16,(Datos!J16+Datos!AD16-(Datos!T16+Datos!AL16))/(Datos!T16+Datos!AL16))," - ")</f>
        <v>-0.35416666666666669</v>
      </c>
      <c r="F16" s="348">
        <f>IF(ISNUMBER(
   IF(D_I="SI",(Datos!K16-Datos!U16)/Datos!U16,(Datos!K16+Datos!AE16-(Datos!U16+Datos!AM16))/(Datos!U16+Datos!AM16))
     ),IF(D_I="SI",(Datos!K16-Datos!U16)/Datos!U16,(Datos!K16+Datos!AE16-(Datos!U16+Datos!AM16))/(Datos!U16+Datos!AM16))," - ")</f>
        <v>-0.36831683168316831</v>
      </c>
      <c r="G16" s="349">
        <f>IF(ISNUMBER(
   IF(D_I="SI",(Datos!L16-Datos!V16)/Datos!V16,(Datos!L16+Datos!AF16-(Datos!V16+Datos!AN16))/(Datos!V16+Datos!AN16))
     ),IF(D_I="SI",(Datos!L16-Datos!V16)/Datos!V16,(Datos!L16+Datos!AF16-(Datos!V16+Datos!AN16))/(Datos!V16+Datos!AN16))," - ")</f>
        <v>8.1691494473810668E-3</v>
      </c>
      <c r="H16" s="230">
        <f>IF(ISNUMBER((Datos!M16-Datos!W16)/Datos!W16),(Datos!M16-Datos!W16)/Datos!W16," - ")</f>
        <v>0</v>
      </c>
      <c r="I16" s="350">
        <f>IF(ISNUMBER((Tasas!C16-Datos!BE16)/Datos!BE16),(Tasas!C16-Datos!BE16)/Datos!BE16," - ")</f>
        <v>0.59600445288691994</v>
      </c>
      <c r="J16" s="349">
        <f>IF(ISNUMBER((Tasas!D16-Datos!BF16)/Datos!BF16),(Tasas!D16-Datos!BF16)/Datos!BF16," - ")</f>
        <v>0.58307210031347956</v>
      </c>
      <c r="K16" s="351">
        <f>IF(ISNUMBER((Tasas!E16-Datos!BG16)/Datos!BG16),(Tasas!E16-Datos!BG16)/Datos!BG16," - ")</f>
        <v>0.4021642170468373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-0.26881720430107525</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-0.78048780487804881</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6.2560153994225213E-3</v>
      </c>
      <c r="E18" s="354">
        <f>IF(ISNUMBER(
   IF(D_I="SI",(Datos!J18-Datos!T18)/Datos!T18,(Datos!J18+Datos!AD18-(Datos!T18+Datos!AL18))/(Datos!T18+Datos!AL18))
     ),IF(D_I="SI",(Datos!J18-Datos!T18)/Datos!T18,(Datos!J18+Datos!AD18-(Datos!T18+Datos!AL18))/(Datos!T18+Datos!AL18))," - ")</f>
        <v>-0.35823582358235823</v>
      </c>
      <c r="F18" s="354">
        <f>IF(ISNUMBER(
   IF(D_I="SI",(Datos!K18-Datos!U18)/Datos!U18,(Datos!K18+Datos!AE18-(Datos!U18+Datos!AM18))/(Datos!U18+Datos!AM18))
     ),IF(D_I="SI",(Datos!K18-Datos!U18)/Datos!U18,(Datos!K18+Datos!AE18-(Datos!U18+Datos!AM18))/(Datos!U18+Datos!AM18))," - ")</f>
        <v>-0.38297872340425532</v>
      </c>
      <c r="G18" s="355">
        <f>IF(ISNUMBER(
   IF(D_I="SI",(Datos!L18-Datos!V18)/Datos!V18,(Datos!L18+Datos!AF18-(Datos!V18+Datos!AN18))/(Datos!V18+Datos!AN18))
     ),IF(D_I="SI",(Datos!L18-Datos!V18)/Datos!V18,(Datos!L18+Datos!AF18-(Datos!V18+Datos!AN18))/(Datos!V18+Datos!AN18))," - ")</f>
        <v>-2.1729079981507166E-2</v>
      </c>
      <c r="H18" s="356">
        <f>IF(ISNUMBER((Datos!M18-Datos!W18)/Datos!W18),(Datos!M18-Datos!W18)/Datos!W18," - ")</f>
        <v>0</v>
      </c>
      <c r="I18" s="357">
        <f>IF(ISNUMBER((Tasas!C18-Datos!BE18)/Datos!BE18),(Tasas!C18-Datos!BE18)/Datos!BE18," - ")</f>
        <v>0.5854735600299712</v>
      </c>
      <c r="J18" s="355">
        <f>IF(ISNUMBER((Tasas!D18-Datos!BF18)/Datos!BF18),(Tasas!D18-Datos!BF18)/Datos!BF18," - ")</f>
        <v>0.6206896551724137</v>
      </c>
      <c r="K18" s="358">
        <f>IF(ISNUMBER((Tasas!E18-Datos!BG18)/Datos!BG18),(Tasas!E18-Datos!BG18)/Datos!BG18," - ")</f>
        <v>0.42502784355705486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0.11743012422360248</v>
      </c>
      <c r="E19" s="363">
        <f>IF(ISNUMBER(
   IF(J_V="SI",(Datos!J19-Datos!T19)/Datos!T19,(Datos!J19+Datos!Z19-(Datos!T19+Datos!AH19))/(Datos!T19+Datos!AH19))
     ),IF(J_V="SI",(Datos!J19-Datos!T19)/Datos!T19,(Datos!J19+Datos!Z19-(Datos!T19+Datos!AH19))/(Datos!T19+Datos!AH19))," - ")</f>
        <v>-0.15262860373092144</v>
      </c>
      <c r="F19" s="363">
        <f>IF(ISNUMBER(
   IF(J_V="SI",(Datos!K19-Datos!U19)/Datos!U19,(Datos!K19+Datos!AA19-(Datos!U19+Datos!AI19))/(Datos!U19+Datos!AI19))
     ),IF(J_V="SI",(Datos!K19-Datos!U19)/Datos!U19,(Datos!K19+Datos!AA19-(Datos!U19+Datos!AI19))/(Datos!U19+Datos!AI19))," - ")</f>
        <v>-0.27348892878515857</v>
      </c>
      <c r="G19" s="364">
        <f>IF(ISNUMBER(
   IF(J_V="SI",(Datos!L19-Datos!V19)/Datos!V19,(Datos!L19+Datos!AB19-(Datos!V19+Datos!AJ19))/(Datos!V19+Datos!AJ19))
     ),IF(J_V="SI",(Datos!L19-Datos!V19)/Datos!V19,(Datos!L19+Datos!AB19-(Datos!V19+Datos!AJ19))/(Datos!V19+Datos!AJ19))," - ")</f>
        <v>0.15720355349555812</v>
      </c>
      <c r="H19" s="365">
        <f>IF(ISNUMBER((Datos!M19-Datos!W19)/Datos!W19),(Datos!M19-Datos!W19)/Datos!W19," - ")</f>
        <v>0.24096385542168675</v>
      </c>
      <c r="I19" s="362">
        <f>IF(ISNUMBER((Tasas!C19-Datos!BE19)/Datos!BE19),(Tasas!C19-Datos!BE19)/Datos!BE19," - ")</f>
        <v>0.59282301308984986</v>
      </c>
      <c r="J19" s="363">
        <f>IF(ISNUMBER((Tasas!D19-Datos!BF19)/Datos!BF19),(Tasas!D19-Datos!BF19)/Datos!BF19," - ")</f>
        <v>0.1251863183494154</v>
      </c>
      <c r="K19" s="364">
        <f>IF(ISNUMBER((Tasas!E19-Datos!BG19)/Datos!BG19),(Tasas!E19-Datos!BG19)/Datos!BG19," - ")</f>
        <v>0.44306597855248947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0.16266160011065697</v>
      </c>
      <c r="E21" s="278">
        <f t="shared" si="1"/>
        <v>0.37170295277624182</v>
      </c>
      <c r="F21" s="278">
        <f t="shared" si="1"/>
        <v>0.36054446142269214</v>
      </c>
      <c r="G21" s="279">
        <f t="shared" si="1"/>
        <v>0.44695050030465183</v>
      </c>
      <c r="H21" s="285">
        <f t="shared" si="1"/>
        <v>0.28628938968080614</v>
      </c>
      <c r="I21" s="277">
        <f t="shared" si="1"/>
        <v>9.7679097255970682E-2</v>
      </c>
      <c r="J21" s="278">
        <f t="shared" si="1"/>
        <v>0.46283208773824941</v>
      </c>
      <c r="K21" s="279">
        <f t="shared" si="1"/>
        <v>5.5258834944786665E-2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5sQuDCSzKLMWjggBAJh2k8GnUhV+9x+aTO8ZYpMaMgpmHdKAEl+RWf37e2SpGDiU1QpAufK9jrL60+oGI1MwQ==" saltValue="hdBJscdxojTWXixS2BTF9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